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6\Amministrazione trasparente\ragioneria\"/>
    </mc:Choice>
  </mc:AlternateContent>
  <xr:revisionPtr revIDLastSave="0" documentId="8_{4F0AE794-78A2-47A7-A50E-C14F0B92DF11}" xr6:coauthVersionLast="47" xr6:coauthVersionMax="47" xr10:uidLastSave="{00000000-0000-0000-0000-000000000000}"/>
  <bookViews>
    <workbookView xWindow="-120" yWindow="-120" windowWidth="29040" windowHeight="15720" xr2:uid="{3AB3E61F-1F3C-4910-B614-BE3D992E8391}"/>
  </bookViews>
  <sheets>
    <sheet name="PREVENTIVO 26-28 FONTE APP.VERG" sheetId="11" r:id="rId1"/>
    <sheet name="III VARIAZ. 25-27" sheetId="1" r:id="rId2"/>
    <sheet name="FINANZIAMENTI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11" l="1"/>
  <c r="E33" i="11"/>
  <c r="D21" i="11"/>
  <c r="E21" i="11"/>
  <c r="D31" i="11"/>
  <c r="C31" i="11"/>
  <c r="D32" i="11"/>
  <c r="C32" i="11"/>
  <c r="C26" i="11" l="1"/>
  <c r="F47" i="1"/>
  <c r="K46" i="1"/>
  <c r="K47" i="1"/>
  <c r="K48" i="1"/>
  <c r="K58" i="1"/>
  <c r="K59" i="1"/>
  <c r="K61" i="1"/>
  <c r="E30" i="11"/>
  <c r="C24" i="11"/>
  <c r="K34" i="1"/>
  <c r="C7" i="11"/>
  <c r="D26" i="11"/>
  <c r="D24" i="11"/>
  <c r="D7" i="11"/>
  <c r="C29" i="11" l="1"/>
  <c r="J29" i="1"/>
  <c r="E7" i="11"/>
  <c r="E4" i="11"/>
  <c r="D4" i="11"/>
  <c r="C4" i="11"/>
  <c r="C21" i="11" s="1"/>
  <c r="X11" i="1"/>
  <c r="O34" i="1"/>
  <c r="O59" i="1"/>
  <c r="X21" i="1"/>
  <c r="X19" i="1"/>
  <c r="W36" i="1"/>
  <c r="V36" i="1"/>
  <c r="U36" i="1"/>
  <c r="O36" i="1"/>
  <c r="V23" i="1"/>
  <c r="V6" i="1"/>
  <c r="W6" i="1"/>
  <c r="W23" i="1" s="1"/>
  <c r="U6" i="1"/>
  <c r="V2" i="1"/>
  <c r="W2" i="1"/>
  <c r="U2" i="1"/>
  <c r="J32" i="1"/>
  <c r="J31" i="1"/>
  <c r="F50" i="1"/>
  <c r="F51" i="1"/>
  <c r="F52" i="1"/>
  <c r="F53" i="1"/>
  <c r="F54" i="1"/>
  <c r="F55" i="1"/>
  <c r="F56" i="1"/>
  <c r="F57" i="1"/>
  <c r="F49" i="1"/>
  <c r="Q30" i="1"/>
  <c r="Q36" i="1" s="1"/>
  <c r="N34" i="1"/>
  <c r="N29" i="1"/>
  <c r="N36" i="1" s="1"/>
  <c r="I21" i="1"/>
  <c r="I19" i="1"/>
  <c r="R21" i="1"/>
  <c r="J21" i="1"/>
  <c r="I13" i="1"/>
  <c r="N21" i="1"/>
  <c r="O21" i="1" s="1"/>
  <c r="N19" i="1"/>
  <c r="F29" i="7"/>
  <c r="O28" i="1"/>
  <c r="O26" i="1"/>
  <c r="K28" i="1"/>
  <c r="K26" i="1"/>
  <c r="H36" i="1"/>
  <c r="I36" i="1"/>
  <c r="C33" i="11" l="1"/>
  <c r="U23" i="1"/>
  <c r="S21" i="1"/>
  <c r="F61" i="1"/>
  <c r="I6" i="1"/>
  <c r="J30" i="1"/>
  <c r="N6" i="1"/>
  <c r="Q6" i="1"/>
  <c r="Q2" i="1"/>
  <c r="I2" i="1"/>
  <c r="Q23" i="1"/>
  <c r="P3" i="1"/>
  <c r="R3" i="1" s="1"/>
  <c r="P4" i="1"/>
  <c r="R4" i="1" s="1"/>
  <c r="L6" i="1"/>
  <c r="M6" i="1"/>
  <c r="L2" i="1"/>
  <c r="M2" i="1"/>
  <c r="N2" i="1"/>
  <c r="H6" i="1"/>
  <c r="G2" i="1"/>
  <c r="H2" i="1"/>
  <c r="G30" i="7"/>
  <c r="G18" i="7"/>
  <c r="L35" i="1"/>
  <c r="I23" i="1" l="1"/>
  <c r="N23" i="1"/>
  <c r="M23" i="1"/>
  <c r="L23" i="1"/>
  <c r="H23" i="1"/>
  <c r="B35" i="7"/>
  <c r="C29" i="7"/>
  <c r="B37" i="7" l="1"/>
  <c r="G38" i="7"/>
  <c r="B19" i="7"/>
  <c r="B28" i="7" s="1"/>
  <c r="B18" i="7"/>
  <c r="B16" i="7"/>
  <c r="H46" i="1"/>
  <c r="E34" i="1"/>
  <c r="E36" i="1" s="1"/>
  <c r="M34" i="1"/>
  <c r="M36" i="1" s="1"/>
  <c r="C70" i="1"/>
  <c r="G29" i="7" l="1"/>
  <c r="G37" i="7" s="1"/>
  <c r="F37" i="7" s="1"/>
  <c r="G21" i="7"/>
  <c r="B27" i="7"/>
  <c r="B29" i="7" s="1"/>
  <c r="B20" i="7"/>
  <c r="F30" i="1"/>
  <c r="H47" i="1"/>
  <c r="B60" i="1"/>
  <c r="K30" i="1"/>
  <c r="O30" i="1" s="1"/>
  <c r="K33" i="1"/>
  <c r="F19" i="1"/>
  <c r="J19" i="1" s="1"/>
  <c r="F20" i="1"/>
  <c r="J20" i="1" s="1"/>
  <c r="F22" i="1"/>
  <c r="J22" i="1" s="1"/>
  <c r="F29" i="1"/>
  <c r="P8" i="1"/>
  <c r="R8" i="1" s="1"/>
  <c r="P9" i="1"/>
  <c r="R9" i="1" s="1"/>
  <c r="P10" i="1"/>
  <c r="R10" i="1" s="1"/>
  <c r="P11" i="1"/>
  <c r="R11" i="1" s="1"/>
  <c r="P12" i="1"/>
  <c r="R12" i="1" s="1"/>
  <c r="P13" i="1"/>
  <c r="R13" i="1" s="1"/>
  <c r="P14" i="1"/>
  <c r="P34" i="1" s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2" i="1"/>
  <c r="R22" i="1" s="1"/>
  <c r="K8" i="1"/>
  <c r="O8" i="1" s="1"/>
  <c r="K9" i="1"/>
  <c r="O9" i="1" s="1"/>
  <c r="K10" i="1"/>
  <c r="O10" i="1" s="1"/>
  <c r="K11" i="1"/>
  <c r="O11" i="1" s="1"/>
  <c r="K12" i="1"/>
  <c r="O12" i="1" s="1"/>
  <c r="K15" i="1"/>
  <c r="O15" i="1" s="1"/>
  <c r="K16" i="1"/>
  <c r="O16" i="1" s="1"/>
  <c r="K17" i="1"/>
  <c r="O17" i="1" s="1"/>
  <c r="K18" i="1"/>
  <c r="O18" i="1" s="1"/>
  <c r="K20" i="1"/>
  <c r="O20" i="1" s="1"/>
  <c r="K22" i="1"/>
  <c r="O22" i="1" s="1"/>
  <c r="F8" i="1"/>
  <c r="J8" i="1" s="1"/>
  <c r="J26" i="1" s="1"/>
  <c r="F9" i="1"/>
  <c r="F10" i="1"/>
  <c r="J10" i="1" s="1"/>
  <c r="F11" i="1"/>
  <c r="J11" i="1" s="1"/>
  <c r="F12" i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P7" i="1"/>
  <c r="R7" i="1" s="1"/>
  <c r="K7" i="1"/>
  <c r="O7" i="1" s="1"/>
  <c r="F7" i="1"/>
  <c r="J7" i="1" s="1"/>
  <c r="P5" i="1"/>
  <c r="K3" i="1"/>
  <c r="K4" i="1"/>
  <c r="O4" i="1" s="1"/>
  <c r="K5" i="1"/>
  <c r="O5" i="1" s="1"/>
  <c r="F3" i="1"/>
  <c r="F4" i="1"/>
  <c r="J4" i="1" s="1"/>
  <c r="F5" i="1"/>
  <c r="J5" i="1" s="1"/>
  <c r="E6" i="1"/>
  <c r="E2" i="1"/>
  <c r="F34" i="1" l="1"/>
  <c r="J3" i="1"/>
  <c r="J34" i="1" s="1"/>
  <c r="R14" i="1"/>
  <c r="O3" i="1"/>
  <c r="F28" i="1"/>
  <c r="J9" i="1"/>
  <c r="J28" i="1" s="1"/>
  <c r="R5" i="1"/>
  <c r="P2" i="1"/>
  <c r="R2" i="1" s="1"/>
  <c r="F33" i="1"/>
  <c r="J12" i="1"/>
  <c r="J33" i="1" s="1"/>
  <c r="H48" i="1"/>
  <c r="F6" i="1"/>
  <c r="J6" i="1" s="1"/>
  <c r="E23" i="1"/>
  <c r="F26" i="1"/>
  <c r="P6" i="1"/>
  <c r="R6" i="1" s="1"/>
  <c r="F2" i="1"/>
  <c r="J2" i="1" s="1"/>
  <c r="K2" i="1"/>
  <c r="O2" i="1" s="1"/>
  <c r="R36" i="1" l="1"/>
  <c r="R34" i="1"/>
  <c r="J36" i="1"/>
  <c r="F23" i="1"/>
  <c r="J23" i="1" s="1"/>
  <c r="P23" i="1"/>
  <c r="R23" i="1" s="1"/>
  <c r="G26" i="1"/>
  <c r="D26" i="1"/>
  <c r="D34" i="1"/>
  <c r="F36" i="1" s="1"/>
  <c r="D33" i="1" l="1"/>
  <c r="D30" i="1"/>
  <c r="D28" i="1"/>
  <c r="P35" i="1" l="1"/>
  <c r="B42" i="1" l="1"/>
  <c r="B41" i="1"/>
  <c r="D29" i="1"/>
  <c r="D2" i="1" l="1"/>
  <c r="G13" i="1" l="1"/>
  <c r="G14" i="1"/>
  <c r="K14" i="1" s="1"/>
  <c r="O14" i="1" s="1"/>
  <c r="L26" i="1"/>
  <c r="L36" i="1" s="1"/>
  <c r="K13" i="1" l="1"/>
  <c r="G34" i="1"/>
  <c r="P36" i="1"/>
  <c r="O13" i="1" l="1"/>
  <c r="G19" i="1"/>
  <c r="G6" i="1" s="1"/>
  <c r="G23" i="1" s="1"/>
  <c r="B43" i="1"/>
  <c r="G28" i="1"/>
  <c r="K36" i="1" l="1"/>
  <c r="G36" i="1"/>
  <c r="K19" i="1"/>
  <c r="K6" i="1" l="1"/>
  <c r="O19" i="1"/>
  <c r="S19" i="1" s="1"/>
  <c r="D6" i="1"/>
  <c r="D23" i="1" s="1"/>
  <c r="D36" i="1"/>
  <c r="K23" i="1" l="1"/>
  <c r="O23" i="1" s="1"/>
  <c r="O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Susanna Defant</author>
  </authors>
  <commentList>
    <comment ref="F3" authorId="0" shapeId="0" xr:uid="{39D8E79B-1C24-41F6-9287-5F544E7385E8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annuale</t>
        </r>
      </text>
    </comment>
    <comment ref="G3" authorId="0" shapeId="0" xr:uid="{10BC3D98-648E-4EFA-8BEE-D3B5749E864E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annuale</t>
        </r>
      </text>
    </comment>
    <comment ref="J3" authorId="0" shapeId="0" xr:uid="{2175FA00-A0D2-4E7C-8735-10A2B9635AE9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assegn. annuale</t>
        </r>
      </text>
    </comment>
    <comment ref="K3" authorId="0" shapeId="0" xr:uid="{8523A879-8881-4885-AA9C-5A0CE978520E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annuale</t>
        </r>
      </text>
    </comment>
    <comment ref="O3" authorId="0" shapeId="0" xr:uid="{0773980C-4578-4D98-BA88-B94C2831AABF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assegnaz. annuale</t>
        </r>
      </text>
    </comment>
    <comment ref="U3" authorId="0" shapeId="0" xr:uid="{CBA9E85E-1DF3-4D16-A877-F76DD4C4B6FC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assegnaz. annuale</t>
        </r>
      </text>
    </comment>
    <comment ref="D4" authorId="0" shapeId="0" xr:uid="{90E49AD1-41FA-4E08-8A71-9C5EEB93D8B9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20.000  2022  già previsti 23-25
9320,54 2022</t>
        </r>
      </text>
    </comment>
    <comment ref="F4" authorId="0" shapeId="0" xr:uid="{63034896-BE6C-4DD9-A19C-BF65BE24AFA1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20.000  2022  già previsti 23-25
9320,54 2022</t>
        </r>
      </text>
    </comment>
    <comment ref="J4" authorId="0" shapeId="0" xr:uid="{876DA5FB-128B-4636-A94C-6910BF80009B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2022
</t>
        </r>
      </text>
    </comment>
    <comment ref="G5" authorId="0" shapeId="0" xr:uid="{89B8A563-422E-4520-8DF9-40E2E9B09E3F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annuale</t>
        </r>
      </text>
    </comment>
    <comment ref="K5" authorId="0" shapeId="0" xr:uid="{7BAC8505-D804-4E93-85FD-E98C2A685DC5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annuale</t>
        </r>
      </text>
    </comment>
    <comment ref="O5" authorId="0" shapeId="0" xr:uid="{C27B5B99-2559-4106-8DFD-D84F91BA66D6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assegnaz. annuale</t>
        </r>
      </text>
    </comment>
    <comment ref="U5" authorId="0" shapeId="0" xr:uid="{9CBDB9F1-5EF1-4A8B-AF6D-804C0BCD0C58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assegnaz. annuale</t>
        </r>
      </text>
    </comment>
    <comment ref="D7" authorId="0" shapeId="0" xr:uid="{9038F026-94E1-45EE-B6E6-136620073885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1.500.000 risconto
200.000 2024
1.800.000 +336.868,09 ante 21
107,573,14 2023 (tot residui 23)</t>
        </r>
      </text>
    </comment>
    <comment ref="F7" authorId="0" shapeId="0" xr:uid="{BEF96DCE-DC48-46EC-B67B-209863B121C3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1.500.000 risconto
200.000 2024
1.800.000 +336.868,09 ante 21
107,573,14 2023 (tot residui 23)</t>
        </r>
      </text>
    </comment>
    <comment ref="J7" authorId="0" shapeId="0" xr:uid="{1CF7C145-E372-4CDB-8F36-EC1C8E3CE885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1.500.000 risconto
200.000 2024
1.800.000 +336.868,09 ante 21
107,573,14 2023 (tot residui 23)</t>
        </r>
      </text>
    </comment>
    <comment ref="D8" authorId="0" shapeId="0" xr:uid="{943411DD-C22A-4B3D-9FD5-5CB54CAA5EBE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921.086,18 ANTE 21</t>
        </r>
      </text>
    </comment>
    <comment ref="F8" authorId="0" shapeId="0" xr:uid="{20D97F6E-9E05-4B20-8C68-6C2A6172A934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921.086,18 ANTE 21</t>
        </r>
      </text>
    </comment>
    <comment ref="J8" authorId="0" shapeId="0" xr:uid="{3CB18E4D-2E64-4B59-8ECD-B6CF278C5C64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ante 21
</t>
        </r>
      </text>
    </comment>
    <comment ref="D9" authorId="0" shapeId="0" xr:uid="{745EDB89-0F08-4CF9-8D3F-3729101793FB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2022</t>
        </r>
      </text>
    </comment>
    <comment ref="F9" authorId="0" shapeId="0" xr:uid="{B8161A0D-C54E-49B2-9BFB-B72952C32479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2022
</t>
        </r>
      </text>
    </comment>
    <comment ref="J9" authorId="0" shapeId="0" xr:uid="{61A8DA61-93AD-4EB0-AB4A-26FFA499E355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2022</t>
        </r>
      </text>
    </comment>
    <comment ref="D10" authorId="0" shapeId="0" xr:uid="{C84B7ED4-A9EA-4EE8-A351-1C5346ABA103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20.000 2022 (già previsti 23-25</t>
        </r>
      </text>
    </comment>
    <comment ref="F10" authorId="0" shapeId="0" xr:uid="{D9D7373E-BE2E-4A6B-896C-72009AD91B77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20.000 2022 (già previsti 23-25</t>
        </r>
      </text>
    </comment>
    <comment ref="J10" authorId="0" shapeId="0" xr:uid="{32F9C31B-30E1-4965-870E-774A5BF1B95C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2022</t>
        </r>
      </text>
    </comment>
    <comment ref="D12" authorId="0" shapeId="0" xr:uid="{95B8C953-E5BF-490B-A965-CD67E3FDA3C1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2024</t>
        </r>
      </text>
    </comment>
    <comment ref="F12" authorId="0" shapeId="0" xr:uid="{EC897C73-B12A-40C2-84A0-6C3F208E204B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2024</t>
        </r>
      </text>
    </comment>
    <comment ref="J12" authorId="0" shapeId="0" xr:uid="{E24B6D16-DA74-44F1-BDDF-34ED4CCBF6EC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2024</t>
        </r>
      </text>
    </comment>
    <comment ref="D13" authorId="0" shapeId="0" xr:uid="{65E09A2E-BE70-4452-BD9D-A9DF56CB6EB6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2025
</t>
        </r>
      </text>
    </comment>
    <comment ref="E13" authorId="0" shapeId="0" xr:uid="{6BE4052D-4FCB-4FF6-983B-80B3AA715445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ass.to pat 2025
</t>
        </r>
      </text>
    </comment>
    <comment ref="F13" authorId="0" shapeId="0" xr:uid="{7C1FD19E-1281-453D-A267-FB851C493A80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2025
</t>
        </r>
      </text>
    </comment>
    <comment ref="G13" authorId="0" shapeId="0" xr:uid="{EE5B5AA0-892C-4D41-B240-CEB4E9CDFBAD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annuale</t>
        </r>
      </text>
    </comment>
    <comment ref="I13" authorId="0" shapeId="0" xr:uid="{EFE05524-E4F9-4647-99C1-0BAACB919783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=4.509.221,78-2.284.385,89= 2.224.835,89 risorse disoponibili dal blocco G  PAT 2025
</t>
        </r>
      </text>
    </comment>
    <comment ref="J13" authorId="0" shapeId="0" xr:uid="{40F452A1-0371-40BC-9B05-16CED401B1B3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2025</t>
        </r>
      </text>
    </comment>
    <comment ref="K13" authorId="0" shapeId="0" xr:uid="{D67D5FDD-7FE7-40CC-B827-BA4E1AF8E239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annuale</t>
        </r>
      </text>
    </comment>
    <comment ref="O13" authorId="0" shapeId="0" xr:uid="{8125D11A-0363-4D1A-BE6D-6B2EC6C4C723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assegnaz. annuale</t>
        </r>
      </text>
    </comment>
    <comment ref="U13" authorId="0" shapeId="0" xr:uid="{EF2E6125-0BE1-403A-BE8D-A56422BF789C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assegnaz. annuale</t>
        </r>
      </text>
    </comment>
    <comment ref="D14" authorId="0" shapeId="0" xr:uid="{409DB096-34F8-43C1-8439-5355CEDAC1BD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1.473.000 ass. 25
9.487,75 residui P2022002
17.512,25 +16482,06 ass. 25</t>
        </r>
      </text>
    </comment>
    <comment ref="F14" authorId="0" shapeId="0" xr:uid="{CAADC8B7-5143-4254-8315-A285E24D19B7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1.473.000 ass. 25
9.487,75 residui P2022002
17.512,25 +16482,06 ass. 25</t>
        </r>
      </text>
    </comment>
    <comment ref="G14" authorId="0" shapeId="0" xr:uid="{BDFE1C71-4641-412A-A914-16C2D51009AD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annuale</t>
        </r>
      </text>
    </comment>
    <comment ref="J14" authorId="0" shapeId="0" xr:uid="{FD6FEEBA-4B7C-4BD9-97B2-DF529FAED34D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1.496.994,31 2025
9487,75 2022</t>
        </r>
      </text>
    </comment>
    <comment ref="K14" authorId="0" shapeId="0" xr:uid="{B7F1B3BD-D26B-4DFF-B3E9-AB36B35C512B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annuale</t>
        </r>
      </text>
    </comment>
    <comment ref="M14" authorId="0" shapeId="0" xr:uid="{D47BB275-9E44-4EB7-A3DD-4DA6FE2CB983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ass.to pat 2025
</t>
        </r>
      </text>
    </comment>
    <comment ref="O14" authorId="0" shapeId="0" xr:uid="{B48F781E-22A9-4294-A6E1-B2BD30AC1EE2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assegnaz. annuale</t>
        </r>
      </text>
    </comment>
    <comment ref="P14" authorId="0" shapeId="0" xr:uid="{E645BECA-8C82-44D5-B3CC-64BB5635904C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1500000 ass. annuale
4087000 ass. ass.to pat 2025
</t>
        </r>
      </text>
    </comment>
    <comment ref="U14" authorId="0" shapeId="0" xr:uid="{DC1DF1CD-69DC-42A9-865E-E18028961A26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assegnaz. annuale</t>
        </r>
      </text>
    </comment>
    <comment ref="D17" authorId="0" shapeId="0" xr:uid="{C4A18908-E0C4-494C-BA5F-B2A4248CEA9B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2025</t>
        </r>
      </text>
    </comment>
    <comment ref="F17" authorId="0" shapeId="0" xr:uid="{788CA4FD-E442-4EA9-9A3B-96E0A01EE432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2025</t>
        </r>
      </text>
    </comment>
    <comment ref="G17" authorId="0" shapeId="0" xr:uid="{558CB304-52D0-4DFD-BDD0-6C46A4B80C6F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annuale</t>
        </r>
      </text>
    </comment>
    <comment ref="J17" authorId="0" shapeId="0" xr:uid="{472AB18B-2083-4758-9A56-F976D77B0F4E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255A4089-D128-485A-BCD0-6E213EBB5DE2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annuale</t>
        </r>
      </text>
    </comment>
    <comment ref="O17" authorId="0" shapeId="0" xr:uid="{C775E985-A895-46B7-97E2-2FB0F5E0C78A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assegnaz. annuale</t>
        </r>
      </text>
    </comment>
    <comment ref="U17" authorId="0" shapeId="0" xr:uid="{5EAC1D88-9E3F-4EBD-B620-36885EE95BF3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assegnaz. annuale</t>
        </r>
      </text>
    </comment>
    <comment ref="D19" authorId="0" shapeId="0" xr:uid="{7436FCBA-F37D-4582-8681-70C9A46CD67F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700.000 ante 21
267.000 ass.annuale 2025
3.000.000. con ass.to pat 23 sul 2025 e ass. 24-26
</t>
        </r>
      </text>
    </comment>
    <comment ref="E19" authorId="0" shapeId="0" xr:uid="{F5FF2969-53D8-40BF-913B-E1B65531C8AD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assegnazione ass.to pat 2025
</t>
        </r>
      </text>
    </comment>
    <comment ref="F19" authorId="0" shapeId="0" xr:uid="{5B9722D3-4274-45E2-826C-CC61C5505107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700.000 ante 21
267.000 ass.annuale 2025
4.509.221,78 2025
3.000.000. con ass.to pat 23 2025</t>
        </r>
      </text>
    </comment>
    <comment ref="G19" authorId="0" shapeId="0" xr:uid="{1BFC983B-3266-4C41-B9D4-E3AC28C740E5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238.000 ante 21
378.000 2022
200.000 22 demolizione
3.000.000 risconto
5.891,07 2022
2.176.539,03 2023
2.500.000 2026 risorse PAT 2026
</t>
        </r>
      </text>
    </comment>
    <comment ref="I19" authorId="0" shapeId="0" xr:uid="{FC4EC504-C5FA-4A4F-BB06-2FECB22370BF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-3.000.000,00 2025
-4,509,221,78 2025
+ 10.118.150 mur
</t>
        </r>
      </text>
    </comment>
    <comment ref="J19" authorId="0" shapeId="0" xr:uid="{73AE0280-D0AE-4259-956D-C6EA1FFA7DB1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700.000 ante 21
267.000 ass.annuale 2025
10.118.150 mur
</t>
        </r>
      </text>
    </comment>
    <comment ref="K19" authorId="0" shapeId="0" xr:uid="{DC8F2ACA-6983-4C09-A01F-58D593273EB2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238.000 ante 21
378.000 2022
200.000 22 demolizione
3.000.000 risconto
5.891,07 2022
2.176.539,03 2023
2.500.000 2026 risorse PAT 2026
</t>
        </r>
      </text>
    </comment>
    <comment ref="L19" authorId="0" shapeId="0" xr:uid="{5EE79277-331F-404E-87CB-81B7F5FDFE44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550.000 ante 21
2.176.539,02 24
267.000 ass. annuale
</t>
        </r>
      </text>
    </comment>
    <comment ref="N19" authorId="0" shapeId="0" xr:uid="{DB125F95-8EEF-4E92-A0D8-E1A2EA3EC442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2.176.439,03-1.167.002,09 = 1.009.536,94 pat 2023
-2.500.000,00 2026
</t>
        </r>
      </text>
    </comment>
    <comment ref="O19" authorId="0" shapeId="0" xr:uid="{56E0237C-CDE1-4A07-9B2D-963AF5BEEB04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238.000 ante 21
378.000 2022
200.000 22 demolizione
3.000.000 risconto
5.891,07 2022
1.009.536,94 2023</t>
        </r>
      </text>
    </comment>
    <comment ref="P19" authorId="0" shapeId="0" xr:uid="{43A5E507-4886-48AA-B46F-407A7CAD0F68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550.000 ante 21
2.176.539,02 24
267.000 ass. annuale
</t>
        </r>
      </text>
    </comment>
    <comment ref="Q19" authorId="0" shapeId="0" xr:uid="{ABE03B35-23E7-44ED-B9DE-F190B6DA5155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2024
</t>
        </r>
      </text>
    </comment>
    <comment ref="R19" authorId="0" shapeId="0" xr:uid="{C4C02FE5-2FDA-463C-AC0F-72003A4C7C86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550.000 ante 21
267.000 ass. annuale
</t>
        </r>
      </text>
    </comment>
    <comment ref="U19" authorId="0" shapeId="0" xr:uid="{43741ABA-AB05-450E-8F72-582F0F7F9AF7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238.000 ante 21
378.000 2022
200.000 22 demolizione
3.000.000 risconto
5.891,07 2022
1.009.536,94 2023</t>
        </r>
      </text>
    </comment>
    <comment ref="V19" authorId="0" shapeId="0" xr:uid="{2DA40C5E-FFBA-4E69-B8CF-305B8E470AF6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550.000 ante 21
267.000 ass. annuale
</t>
        </r>
      </text>
    </comment>
    <comment ref="D20" authorId="0" shapeId="0" xr:uid="{8B1F4EFA-8690-4D18-B97B-2F6B8C8FC18A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990.338-42.469,68 stato
323.460,98 pat 24
244.928,38 pat 23
42.469,68 opera 25
</t>
        </r>
      </text>
    </comment>
    <comment ref="F20" authorId="0" shapeId="0" xr:uid="{E9C7D95F-0AE1-4FEE-AB5A-FBA957034A5B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990.338-42.469,68 stato
323.460,98 pat 24
244.928,38 pat 23
42.469,68 opera 25
</t>
        </r>
      </text>
    </comment>
    <comment ref="J20" authorId="0" shapeId="0" xr:uid="{E8518EE4-3508-428C-B375-21DCB025F6D7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990.338-42.469,68 stato
323.460,98 pat 24
244.928,38 pat 23
42.469,68 opera 25</t>
        </r>
      </text>
    </comment>
    <comment ref="I21" authorId="0" shapeId="0" xr:uid="{49352439-E2AA-47A4-99CB-51E52CB1E585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3.000.000 2025
2.284.385,89 2025 derivano dai 4.509.221,78
21.603.573 mur</t>
        </r>
      </text>
    </comment>
    <comment ref="J21" authorId="0" shapeId="0" xr:uid="{31F07202-9448-4473-9D92-76864FD7E7FD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3.000.000 2025
2.284.385,89 2025 derivano dai 4.509.221,78
21.603.573 mur</t>
        </r>
      </text>
    </comment>
    <comment ref="N21" authorId="0" shapeId="0" xr:uid="{E4FA82F8-FAF2-4125-9449-98DFBC7F54C0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1.167.002,09 2023
2.500.000,00 2026
</t>
        </r>
      </text>
    </comment>
    <comment ref="O21" authorId="0" shapeId="0" xr:uid="{B13E8C3D-E935-4E71-B956-45B317A3E164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1.167.002,09 2023
2.500.000,00 2026
</t>
        </r>
      </text>
    </comment>
    <comment ref="Q21" authorId="0" shapeId="0" xr:uid="{D02BE429-E19F-494D-A887-E8762F2DFD9B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2024
</t>
        </r>
      </text>
    </comment>
    <comment ref="R21" authorId="0" shapeId="0" xr:uid="{74DFC926-19D0-4CFE-8873-69223336C8F0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2024
</t>
        </r>
      </text>
    </comment>
    <comment ref="U21" authorId="0" shapeId="0" xr:uid="{55B8E784-987C-4C57-A9AA-7732C48B0855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1.167.002,09 2023
2.500.000,00 2026
</t>
        </r>
      </text>
    </comment>
    <comment ref="V21" authorId="0" shapeId="0" xr:uid="{48DCC0CB-DB67-42C7-9DFA-F57491DCA52E}">
      <text>
        <r>
          <rPr>
            <b/>
            <sz val="9"/>
            <color indexed="81"/>
            <rFont val="Tahoma"/>
            <family val="2"/>
          </rPr>
          <t>Susanna Defant:</t>
        </r>
        <r>
          <rPr>
            <sz val="9"/>
            <color indexed="81"/>
            <rFont val="Tahoma"/>
            <family val="2"/>
          </rPr>
          <t xml:space="preserve">
2024
</t>
        </r>
      </text>
    </comment>
  </commentList>
</comments>
</file>

<file path=xl/sharedStrings.xml><?xml version="1.0" encoding="utf-8"?>
<sst xmlns="http://schemas.openxmlformats.org/spreadsheetml/2006/main" count="318" uniqueCount="156">
  <si>
    <t>INVESTIMENTI</t>
  </si>
  <si>
    <t>PREV.2026</t>
  </si>
  <si>
    <t>IMMOBILIZZAZIONI IMMATERIALI</t>
  </si>
  <si>
    <t>- Sviluppo software e manutenzione evolutiva</t>
  </si>
  <si>
    <t>P2022006</t>
  </si>
  <si>
    <t>- Manutenzione straordinaria beni di terzi (residenza Mayer)</t>
  </si>
  <si>
    <t>P2024006</t>
  </si>
  <si>
    <t>IMMOBILIZZAZIONI MATERIALI</t>
  </si>
  <si>
    <t>P2016003</t>
  </si>
  <si>
    <t>- Cantierizzazione Mensa /Alloggi S. Margherita</t>
  </si>
  <si>
    <t>P2018001</t>
  </si>
  <si>
    <t>- Arredi Mensa / Alloggi S. Margherita</t>
  </si>
  <si>
    <t>P2022008</t>
  </si>
  <si>
    <t>P2022002</t>
  </si>
  <si>
    <t>P2023002</t>
  </si>
  <si>
    <t>P2024002</t>
  </si>
  <si>
    <t>- Q.ta canone studentato S.Bartolameo (C.F.C.S.)</t>
  </si>
  <si>
    <t>P2023004</t>
  </si>
  <si>
    <t>- Acquisto impianti ed attrezzature informatiche</t>
  </si>
  <si>
    <t>P2024004</t>
  </si>
  <si>
    <t>P2023005</t>
  </si>
  <si>
    <t>- Acquisto mezzo di trasporto stradale</t>
  </si>
  <si>
    <t>P2022050</t>
  </si>
  <si>
    <t>L. 338/2000 - COMPLET. S.BARTOLAMEO - BLOCCOG</t>
  </si>
  <si>
    <t>P2024040</t>
  </si>
  <si>
    <t>P2021010</t>
  </si>
  <si>
    <t xml:space="preserve">- Interventi per realizzazione PNRR </t>
  </si>
  <si>
    <t>TOTALE IMMOBILIZZAZIONI</t>
  </si>
  <si>
    <t>FONTI DI FINANZIAMENTO</t>
  </si>
  <si>
    <t>2023</t>
  </si>
  <si>
    <t>2024</t>
  </si>
  <si>
    <t>F2015001</t>
  </si>
  <si>
    <t>- Contributo Prov.le in conto capitale ANTE 2021</t>
  </si>
  <si>
    <t>F202200R</t>
  </si>
  <si>
    <t>F2022001</t>
  </si>
  <si>
    <t>F2023001</t>
  </si>
  <si>
    <t>F2024040</t>
  </si>
  <si>
    <t>F2024001</t>
  </si>
  <si>
    <t>F2026COR</t>
  </si>
  <si>
    <t>- Utilizzo contributo di parte corrente</t>
  </si>
  <si>
    <t>TOTALE FINANZIAMENTI</t>
  </si>
  <si>
    <t>BORINO</t>
  </si>
  <si>
    <t>PAT</t>
  </si>
  <si>
    <t>G.P. 2278 15/12/23</t>
  </si>
  <si>
    <t xml:space="preserve">STATO </t>
  </si>
  <si>
    <t>DM 1483 2/11/23</t>
  </si>
  <si>
    <t>OPERA</t>
  </si>
  <si>
    <t>determina 132 / 24</t>
  </si>
  <si>
    <t>BLOCCO G</t>
  </si>
  <si>
    <t>2025</t>
  </si>
  <si>
    <t xml:space="preserve">OPERA </t>
  </si>
  <si>
    <t>ass. annuale 24</t>
  </si>
  <si>
    <t>ass. annuale 25</t>
  </si>
  <si>
    <t>sul 2024</t>
  </si>
  <si>
    <t>ante 2021</t>
  </si>
  <si>
    <t>sul 2025</t>
  </si>
  <si>
    <t>sul 2026</t>
  </si>
  <si>
    <t>anno 2022</t>
  </si>
  <si>
    <t xml:space="preserve">sul 2026 </t>
  </si>
  <si>
    <t>risconto 2023</t>
  </si>
  <si>
    <t>Preventivo  2025</t>
  </si>
  <si>
    <t>350,0000 risorse aggiuntive PAT</t>
  </si>
  <si>
    <t>Preventivo 2026</t>
  </si>
  <si>
    <t>P2025002</t>
  </si>
  <si>
    <t>P2025001</t>
  </si>
  <si>
    <t>P2025004</t>
  </si>
  <si>
    <t>F2025001</t>
  </si>
  <si>
    <t>P2025003</t>
  </si>
  <si>
    <t>PREV.2027</t>
  </si>
  <si>
    <t>Preventivo 2027</t>
  </si>
  <si>
    <t xml:space="preserve">Nessuna assegnazione Pat </t>
  </si>
  <si>
    <t>dalla corrente si sposta FCS con istat e 267.000 del blocco G</t>
  </si>
  <si>
    <t xml:space="preserve">Come da I Varizione 24-26 a cui si aggiungono </t>
  </si>
  <si>
    <t>per un totale di 1.767.000</t>
  </si>
  <si>
    <t>2,500,000 risorse aggiuntive PAT per ricalcolo QE blocco G</t>
  </si>
  <si>
    <t>- Trasferimento assegnazioni provinciali indistinte - risconto</t>
  </si>
  <si>
    <t>- Contributo Provinciale in conto capitale 2022</t>
  </si>
  <si>
    <t>- Contributo Provinciale in conto capitale 2023</t>
  </si>
  <si>
    <t>- Contributo Provinciale in conto capitale 2024</t>
  </si>
  <si>
    <t>- Contributo Provinciale in conto capitale 2025</t>
  </si>
  <si>
    <t>assegnazione PAT con il prev 25-27 sul 26 - importo per ricalcolo QE</t>
  </si>
  <si>
    <t>TOTALE 2025</t>
  </si>
  <si>
    <t>variazione</t>
  </si>
  <si>
    <t>L. 338/2000 - EFFICIENTAMENTO ENERGETICO BORINO</t>
  </si>
  <si>
    <t>commesse 4/7</t>
  </si>
  <si>
    <t>ok</t>
  </si>
  <si>
    <t>ok totale</t>
  </si>
  <si>
    <t>ok 2025</t>
  </si>
  <si>
    <t>TOTALE 2026</t>
  </si>
  <si>
    <t>TOTALE 2027</t>
  </si>
  <si>
    <t>assegnazione Pat con ass.to 2025 sul 2025 - importo ricalcolo demanio</t>
  </si>
  <si>
    <t>Finanz. PAT</t>
  </si>
  <si>
    <t>Finanz. OPERA</t>
  </si>
  <si>
    <t>RESIDUIDA RIPORTARE DAL 2024 schema</t>
  </si>
  <si>
    <t xml:space="preserve">recupero hollander iva </t>
  </si>
  <si>
    <t>riduzione finanz. Statale Borino</t>
  </si>
  <si>
    <t>RESIDUI DA DISTRIBUIRE</t>
  </si>
  <si>
    <t>I Variazione Piano Investimenti 2025</t>
  </si>
  <si>
    <t>I e II Variazione Piano Investimenti 2026</t>
  </si>
  <si>
    <t>II Variazione Piano Investimenti 2027</t>
  </si>
  <si>
    <t>Da ass.to Pat 2025 assegnati € 4.087.000 riscatto FCS</t>
  </si>
  <si>
    <t>Da ass.to Pat 2025 assegnati € 1.767.000 Opera li mette in corrente ripristino preventivo 25-27</t>
  </si>
  <si>
    <t>II variazione</t>
  </si>
  <si>
    <t>DM 1488/23</t>
  </si>
  <si>
    <t>Alla luce dello scorrimento di graduatoria ministeriale, agosto 2025:</t>
  </si>
  <si>
    <t>Q.E. - VALORE IMMOBILE</t>
  </si>
  <si>
    <t>PAT FINANZIATO AL 09/2025</t>
  </si>
  <si>
    <t>Avanzo Pat Blocco G</t>
  </si>
  <si>
    <t>TOTALE Q.E. DEMANIO ERRATO</t>
  </si>
  <si>
    <t>Q.E. RIVISTO NEGLI IMPORTI</t>
  </si>
  <si>
    <t>TOTALE Q.E. DEMANIO CORRETTO</t>
  </si>
  <si>
    <t>AVANZO PAT CON QE CORRETTO</t>
  </si>
  <si>
    <t>BLOCCO G - con finanziamento DM</t>
  </si>
  <si>
    <t xml:space="preserve">Q.E CORRETTO </t>
  </si>
  <si>
    <t>EX ASILO - ROVERETO - ipotesi finanziamento</t>
  </si>
  <si>
    <t>Avanzo Pat Blocco G+Asilo</t>
  </si>
  <si>
    <t>III  variazione</t>
  </si>
  <si>
    <t>0,00</t>
  </si>
  <si>
    <t>I Variazione Piano Investimenti 2026</t>
  </si>
  <si>
    <t>II Variazione Piano Investimenti 2025</t>
  </si>
  <si>
    <t>Ricalcolo Blocco G da Demanio</t>
  </si>
  <si>
    <t>(per arrivare ad un totale pari a 19.968.190,90)</t>
  </si>
  <si>
    <t>Interventi straordinari</t>
  </si>
  <si>
    <t>III Variazione Piano Investimenti 2025</t>
  </si>
  <si>
    <t>III Variazione Piano Investimenti 2026</t>
  </si>
  <si>
    <t>III Variazione Piano Investimenti 2027</t>
  </si>
  <si>
    <t>- Contributo MUR - decreto 1483/23 - Efficient.Borino</t>
  </si>
  <si>
    <t>F2025050</t>
  </si>
  <si>
    <t>F2025060</t>
  </si>
  <si>
    <t>- Contributo MUR - decreto  1488/23 - Blocco G Trento</t>
  </si>
  <si>
    <t>- Contributo MUR - decreto  1488/23 - Asilo Rovereto</t>
  </si>
  <si>
    <t>P2025060</t>
  </si>
  <si>
    <t>L. 338/2000 - EX ASILO  MANIFATTURA ROVERETO</t>
  </si>
  <si>
    <t>- Interventi di straordinaria manutenz.immobili, acquisto beni mobili, arrredi e attrez.</t>
  </si>
  <si>
    <t>con PI 25-27</t>
  </si>
  <si>
    <t>con II agg PI 25-27</t>
  </si>
  <si>
    <t xml:space="preserve">GP N. </t>
  </si>
  <si>
    <t xml:space="preserve">MUR </t>
  </si>
  <si>
    <t>ASILO</t>
  </si>
  <si>
    <t>MUR</t>
  </si>
  <si>
    <t>RISORSE A DISPOSIZIONE PER STRAORDIONARIA</t>
  </si>
  <si>
    <t>La pat in delibera mette a disposizione della straordinaria oltre ai 2.224.835,89 anche gli 267.000 che Opera aveva già messo in straordinaria. Pat aveva finanaziato Q.E. del bloccoG per 267.000 in più</t>
  </si>
  <si>
    <t>TOTALE 2028</t>
  </si>
  <si>
    <t>P2026001</t>
  </si>
  <si>
    <t>P2026006</t>
  </si>
  <si>
    <t>P2026002</t>
  </si>
  <si>
    <t>P2026003</t>
  </si>
  <si>
    <t>P2026004</t>
  </si>
  <si>
    <t>- Contributo Provinciale in conto capitale 2026</t>
  </si>
  <si>
    <t>F2026001</t>
  </si>
  <si>
    <t>L. 338/2000 - COMPLET. S.BARTOLAMEO - BLOCCO G</t>
  </si>
  <si>
    <t>PAT 23</t>
  </si>
  <si>
    <t>PAT 25</t>
  </si>
  <si>
    <t>PAT 26</t>
  </si>
  <si>
    <t>PAT 24</t>
  </si>
  <si>
    <t>PIANO INVESTIMETI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</si>
</sst>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€-410]\ #,##0.00;[Red]\-[$€-410]\ #,##0.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0" fontId="16" fillId="0" borderId="0"/>
    <xf numFmtId="0" fontId="18" fillId="0" borderId="0" applyNumberFormat="0" applyFill="0" applyBorder="0" applyProtection="0">
      <alignment horizontal="center"/>
    </xf>
    <xf numFmtId="0" fontId="18" fillId="0" borderId="0" applyNumberFormat="0" applyFill="0" applyBorder="0" applyProtection="0">
      <alignment horizontal="center" textRotation="90"/>
    </xf>
    <xf numFmtId="0" fontId="17" fillId="0" borderId="0" applyNumberFormat="0" applyFill="0" applyBorder="0" applyProtection="0"/>
    <xf numFmtId="165" fontId="17" fillId="0" borderId="0" applyFill="0" applyBorder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3" borderId="8" applyNumberFormat="0" applyAlignment="0" applyProtection="0"/>
    <xf numFmtId="0" fontId="22" fillId="0" borderId="9" applyNumberFormat="0" applyFill="0" applyAlignment="0" applyProtection="0"/>
    <xf numFmtId="0" fontId="23" fillId="17" borderId="10" applyNumberFormat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6" borderId="0" applyNumberFormat="0" applyBorder="0" applyAlignment="0" applyProtection="0"/>
    <xf numFmtId="0" fontId="24" fillId="7" borderId="8" applyNumberFormat="0" applyAlignment="0" applyProtection="0"/>
    <xf numFmtId="0" fontId="25" fillId="14" borderId="0" applyNumberFormat="0" applyBorder="0" applyAlignment="0" applyProtection="0"/>
    <xf numFmtId="0" fontId="16" fillId="9" borderId="11" applyNumberFormat="0" applyFont="0" applyAlignment="0" applyProtection="0"/>
    <xf numFmtId="0" fontId="26" fillId="13" borderId="12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33" fillId="21" borderId="0" applyNumberFormat="0" applyBorder="0" applyAlignment="0" applyProtection="0"/>
    <xf numFmtId="0" fontId="34" fillId="1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13" borderId="8" applyNumberFormat="0" applyAlignment="0" applyProtection="0"/>
    <xf numFmtId="0" fontId="24" fillId="7" borderId="8" applyNumberFormat="0" applyAlignment="0" applyProtection="0"/>
    <xf numFmtId="0" fontId="21" fillId="13" borderId="8" applyNumberFormat="0" applyAlignment="0" applyProtection="0"/>
    <xf numFmtId="0" fontId="24" fillId="7" borderId="8" applyNumberFormat="0" applyAlignment="0" applyProtection="0"/>
    <xf numFmtId="0" fontId="16" fillId="9" borderId="11" applyNumberFormat="0" applyFont="0" applyAlignment="0" applyProtection="0"/>
    <xf numFmtId="0" fontId="26" fillId="13" borderId="12" applyNumberFormat="0" applyAlignment="0" applyProtection="0"/>
    <xf numFmtId="0" fontId="19" fillId="0" borderId="16" applyNumberFormat="0" applyFill="0" applyAlignment="0" applyProtection="0"/>
    <xf numFmtId="0" fontId="21" fillId="13" borderId="8" applyNumberFormat="0" applyAlignment="0" applyProtection="0"/>
    <xf numFmtId="0" fontId="24" fillId="7" borderId="8" applyNumberFormat="0" applyAlignment="0" applyProtection="0"/>
    <xf numFmtId="0" fontId="16" fillId="9" borderId="11" applyNumberFormat="0" applyFont="0" applyAlignment="0" applyProtection="0"/>
    <xf numFmtId="0" fontId="26" fillId="13" borderId="12" applyNumberFormat="0" applyAlignment="0" applyProtection="0"/>
    <xf numFmtId="0" fontId="19" fillId="0" borderId="16" applyNumberFormat="0" applyFill="0" applyAlignment="0" applyProtection="0"/>
  </cellStyleXfs>
  <cellXfs count="10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4" fontId="0" fillId="2" borderId="1" xfId="0" applyNumberFormat="1" applyFill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6" fillId="0" borderId="0" xfId="0" applyNumberFormat="1" applyFont="1"/>
    <xf numFmtId="4" fontId="4" fillId="2" borderId="5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" fontId="0" fillId="0" borderId="7" xfId="0" applyNumberFormat="1" applyBorder="1"/>
    <xf numFmtId="49" fontId="0" fillId="0" borderId="0" xfId="0" applyNumberFormat="1"/>
    <xf numFmtId="49" fontId="6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/>
    </xf>
    <xf numFmtId="49" fontId="6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49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49" fontId="0" fillId="0" borderId="0" xfId="0" applyNumberFormat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11" fillId="4" borderId="0" xfId="0" applyFont="1" applyFill="1"/>
    <xf numFmtId="4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right"/>
    </xf>
    <xf numFmtId="49" fontId="12" fillId="0" borderId="0" xfId="0" applyNumberFormat="1" applyFont="1" applyAlignment="1">
      <alignment horizontal="right"/>
    </xf>
    <xf numFmtId="4" fontId="12" fillId="0" borderId="0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right"/>
    </xf>
    <xf numFmtId="49" fontId="12" fillId="0" borderId="0" xfId="0" applyNumberFormat="1" applyFont="1" applyAlignment="1">
      <alignment horizontal="left"/>
    </xf>
    <xf numFmtId="0" fontId="12" fillId="0" borderId="7" xfId="0" applyFont="1" applyBorder="1" applyAlignment="1">
      <alignment horizontal="right"/>
    </xf>
    <xf numFmtId="4" fontId="12" fillId="0" borderId="7" xfId="0" applyNumberFormat="1" applyFont="1" applyBorder="1"/>
    <xf numFmtId="0" fontId="12" fillId="0" borderId="7" xfId="0" applyFont="1" applyBorder="1"/>
    <xf numFmtId="4" fontId="12" fillId="4" borderId="0" xfId="0" applyNumberFormat="1" applyFont="1" applyFill="1"/>
    <xf numFmtId="0" fontId="13" fillId="4" borderId="0" xfId="0" applyFont="1" applyFill="1"/>
    <xf numFmtId="4" fontId="14" fillId="4" borderId="0" xfId="0" applyNumberFormat="1" applyFont="1" applyFill="1"/>
    <xf numFmtId="4" fontId="12" fillId="5" borderId="0" xfId="0" applyNumberFormat="1" applyFont="1" applyFill="1"/>
    <xf numFmtId="0" fontId="12" fillId="0" borderId="0" xfId="0" applyFont="1" applyBorder="1"/>
    <xf numFmtId="4" fontId="12" fillId="0" borderId="0" xfId="0" applyNumberFormat="1" applyFont="1" applyFill="1"/>
    <xf numFmtId="0" fontId="12" fillId="5" borderId="0" xfId="0" applyFont="1" applyFill="1"/>
    <xf numFmtId="4" fontId="14" fillId="4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/>
    <xf numFmtId="49" fontId="0" fillId="0" borderId="0" xfId="0" applyNumberFormat="1" applyFont="1" applyFill="1" applyBorder="1" applyAlignment="1">
      <alignment vertical="center"/>
    </xf>
    <xf numFmtId="4" fontId="0" fillId="0" borderId="0" xfId="0" applyNumberFormat="1" applyFont="1"/>
    <xf numFmtId="49" fontId="1" fillId="0" borderId="0" xfId="0" applyNumberFormat="1" applyFont="1" applyFill="1" applyBorder="1" applyAlignment="1">
      <alignment vertical="center"/>
    </xf>
    <xf numFmtId="4" fontId="0" fillId="0" borderId="7" xfId="0" applyNumberFormat="1" applyFont="1" applyBorder="1"/>
    <xf numFmtId="0" fontId="0" fillId="0" borderId="0" xfId="0" applyFont="1"/>
    <xf numFmtId="49" fontId="0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ont="1" applyBorder="1"/>
    <xf numFmtId="0" fontId="6" fillId="0" borderId="0" xfId="0" applyFont="1"/>
    <xf numFmtId="4" fontId="0" fillId="0" borderId="1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vertical="center"/>
    </xf>
    <xf numFmtId="4" fontId="0" fillId="0" borderId="1" xfId="0" applyNumberFormat="1" applyFont="1" applyBorder="1"/>
    <xf numFmtId="4" fontId="0" fillId="0" borderId="1" xfId="0" applyNumberFormat="1" applyFont="1" applyFill="1" applyBorder="1"/>
    <xf numFmtId="4" fontId="0" fillId="0" borderId="3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vertical="center" wrapText="1"/>
    </xf>
    <xf numFmtId="49" fontId="0" fillId="0" borderId="4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" fontId="0" fillId="3" borderId="3" xfId="0" applyNumberFormat="1" applyFont="1" applyFill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0" fillId="0" borderId="1" xfId="0" applyNumberFormat="1" applyFont="1" applyBorder="1"/>
    <xf numFmtId="164" fontId="0" fillId="0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6" fillId="0" borderId="0" xfId="0" applyNumberFormat="1" applyFont="1" applyBorder="1"/>
    <xf numFmtId="4" fontId="0" fillId="0" borderId="0" xfId="0" applyNumberFormat="1" applyAlignment="1">
      <alignment horizontal="center" vertical="center"/>
    </xf>
    <xf numFmtId="2" fontId="0" fillId="0" borderId="0" xfId="0" applyNumberFormat="1"/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4" fontId="1" fillId="0" borderId="17" xfId="0" applyNumberFormat="1" applyFont="1" applyBorder="1"/>
    <xf numFmtId="4" fontId="0" fillId="0" borderId="17" xfId="0" applyNumberFormat="1" applyFont="1" applyBorder="1"/>
    <xf numFmtId="4" fontId="0" fillId="5" borderId="0" xfId="0" applyNumberFormat="1" applyFill="1" applyAlignment="1">
      <alignment horizontal="right"/>
    </xf>
    <xf numFmtId="49" fontId="0" fillId="5" borderId="0" xfId="0" applyNumberFormat="1" applyFill="1" applyAlignment="1">
      <alignment horizontal="right"/>
    </xf>
    <xf numFmtId="4" fontId="0" fillId="5" borderId="0" xfId="0" applyNumberFormat="1" applyFill="1"/>
    <xf numFmtId="0" fontId="0" fillId="5" borderId="0" xfId="0" applyFill="1" applyAlignment="1">
      <alignment horizontal="right"/>
    </xf>
    <xf numFmtId="0" fontId="0" fillId="5" borderId="0" xfId="0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left" wrapText="1"/>
    </xf>
    <xf numFmtId="4" fontId="0" fillId="0" borderId="0" xfId="0" applyNumberForma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</cellXfs>
  <cellStyles count="70">
    <cellStyle name="20% - Colore 1 2" xfId="10" xr:uid="{E71E5313-C366-4881-BFF0-3FB9FEC32F0A}"/>
    <cellStyle name="20% - Colore 2 2" xfId="11" xr:uid="{259F1FC1-CA90-4356-AF63-C9469A76AFC8}"/>
    <cellStyle name="20% - Colore 3 2" xfId="12" xr:uid="{C526EAAA-7E26-4CF2-9008-FBCF8861259F}"/>
    <cellStyle name="20% - Colore 4 2" xfId="13" xr:uid="{CE0AAB5A-6D43-44C4-9F64-0BBB82D3D25B}"/>
    <cellStyle name="20% - Colore 5 2" xfId="14" xr:uid="{14168B3F-1B81-4643-8181-3E88331CCB84}"/>
    <cellStyle name="20% - Colore 6 2" xfId="15" xr:uid="{85ED78E1-FE63-472A-B19E-1760FC33EB1B}"/>
    <cellStyle name="40% - Colore 1 2" xfId="16" xr:uid="{C1E681D9-E332-4B4F-8428-6CB1CCEAE7EC}"/>
    <cellStyle name="40% - Colore 2 2" xfId="17" xr:uid="{A08AC6BF-F3A2-4B79-9F31-F6F447FB0370}"/>
    <cellStyle name="40% - Colore 3 2" xfId="18" xr:uid="{570123BC-9AA7-4066-9DCA-52A23D8066AB}"/>
    <cellStyle name="40% - Colore 4 2" xfId="19" xr:uid="{9C8A1F0B-01E1-41D0-97B9-394997421E47}"/>
    <cellStyle name="40% - Colore 5 2" xfId="20" xr:uid="{F39A1EE9-862A-42A0-A053-B733E579CB6C}"/>
    <cellStyle name="40% - Colore 6 2" xfId="21" xr:uid="{97665F6A-3E0C-4541-82D3-6648CEB53140}"/>
    <cellStyle name="60% - Colore 1 2" xfId="22" xr:uid="{137115ED-2099-41EE-B85B-D688DC9DCE2C}"/>
    <cellStyle name="60% - Colore 2 2" xfId="23" xr:uid="{C1F75A84-E334-4AE6-9D37-AB76317747E5}"/>
    <cellStyle name="60% - Colore 3 2" xfId="24" xr:uid="{C1B7057A-05FA-4E79-AD2C-835E95509535}"/>
    <cellStyle name="60% - Colore 4 2" xfId="25" xr:uid="{5C65DDEE-A5A6-4B6D-8454-4B99F9D7378E}"/>
    <cellStyle name="60% - Colore 5 2" xfId="26" xr:uid="{D2C09FE2-558B-4175-BC84-B300BDFE4BFE}"/>
    <cellStyle name="60% - Colore 6 2" xfId="27" xr:uid="{94F7E785-852B-4DDD-B4FE-376EBDC827AE}"/>
    <cellStyle name="Calcolo 2" xfId="28" xr:uid="{DBBCF631-86FE-41F2-9499-E11359F1D3FF}"/>
    <cellStyle name="Calcolo 2 2" xfId="58" xr:uid="{D8A8229E-65D5-46DB-9627-AFAB12C3B9F5}"/>
    <cellStyle name="Calcolo 2 3" xfId="60" xr:uid="{1F3812CA-0228-47A9-929B-D066ED8F3D09}"/>
    <cellStyle name="Calcolo 2 4" xfId="65" xr:uid="{BD7DD8BE-DF18-4CC5-AE72-8097C63E4ACF}"/>
    <cellStyle name="Cella collegata 2" xfId="29" xr:uid="{1BB4EAEC-C124-4495-9F53-6CFF18D1403F}"/>
    <cellStyle name="Cella da controllare 2" xfId="30" xr:uid="{DBF75F60-6B74-4989-A7B5-561B0AAFD12B}"/>
    <cellStyle name="Colore 1 2" xfId="31" xr:uid="{3B269DF9-770C-4648-B9EF-2ECC9962E166}"/>
    <cellStyle name="Colore 2 2" xfId="32" xr:uid="{C2664D5A-0EF2-4B78-9EB3-33DAA452DC86}"/>
    <cellStyle name="Colore 3 2" xfId="33" xr:uid="{37CF4E20-8B80-40D7-9F01-69F6D802A27F}"/>
    <cellStyle name="Colore 4 2" xfId="34" xr:uid="{087A50C7-5E2A-4939-A5F4-331BDA379CF9}"/>
    <cellStyle name="Colore 5 2" xfId="35" xr:uid="{6182E188-CB0C-4D72-AAF5-1CAF9AB4515F}"/>
    <cellStyle name="Colore 6 2" xfId="36" xr:uid="{9E6474E6-9E0D-4CAD-A468-D2CD5B0035E2}"/>
    <cellStyle name="Input 2" xfId="37" xr:uid="{1C04AE09-2455-4C29-9BF2-FC634B116770}"/>
    <cellStyle name="Input 2 2" xfId="59" xr:uid="{A9033F63-7BD4-4661-81B7-3C18B590DA1F}"/>
    <cellStyle name="Input 2 3" xfId="61" xr:uid="{204489B6-7264-4F3B-B9CE-368546446761}"/>
    <cellStyle name="Input 2 4" xfId="66" xr:uid="{6B6471EC-7DEB-4B5E-9DAA-5889FC9774FB}"/>
    <cellStyle name="Intestazione" xfId="2" xr:uid="{5381C883-FF80-4C36-880A-917527B51666}"/>
    <cellStyle name="Intestazione1" xfId="3" xr:uid="{D175CDC3-A610-49F7-9108-97AB928959E5}"/>
    <cellStyle name="Neutrale 2" xfId="38" xr:uid="{67C8E88D-1BBC-4CEE-8DE0-9E0B0095DB7A}"/>
    <cellStyle name="Normale" xfId="0" builtinId="0"/>
    <cellStyle name="Normale 2" xfId="6" xr:uid="{7DB8379F-04BE-4A73-87F6-B8E6E0F7B18F}"/>
    <cellStyle name="Normale 2 2" xfId="9" xr:uid="{AAF426A9-9A14-42A4-8A6E-3B6785E2386D}"/>
    <cellStyle name="Normale 2 2 2" xfId="54" xr:uid="{E53C8E13-CA65-48B2-AB8B-787D786D2390}"/>
    <cellStyle name="Normale 2 2 3" xfId="57" xr:uid="{741C267B-27FA-483F-8EC8-C67AE7528709}"/>
    <cellStyle name="Normale 2 3" xfId="52" xr:uid="{829735C3-726C-4883-AC94-FE85E8357FC0}"/>
    <cellStyle name="Normale 2 4" xfId="55" xr:uid="{A52FC28B-88AE-4F5E-8EDC-91F2345F68D6}"/>
    <cellStyle name="Normale 3" xfId="1" xr:uid="{29C8683F-0606-4BEF-BF1A-4EE41FF0C4EF}"/>
    <cellStyle name="Normale 4" xfId="8" xr:uid="{BB6E3B1F-B7E1-4401-959F-34331C851FCA}"/>
    <cellStyle name="Normale 4 2" xfId="53" xr:uid="{CB385326-0BD0-4AAC-8DBF-7DC5F12B051D}"/>
    <cellStyle name="Normale 4 3" xfId="56" xr:uid="{279AFE7C-2C1E-49AC-8614-10233817AC28}"/>
    <cellStyle name="Normale 5" xfId="51" xr:uid="{F58DA97F-5CA4-4A97-825E-A9AA659C7486}"/>
    <cellStyle name="Normale 6" xfId="7" xr:uid="{1EE0B4F7-63E9-421C-9B17-D3D1C290C0F0}"/>
    <cellStyle name="Nota 2" xfId="39" xr:uid="{CDD94CC0-77AD-4583-A200-E8EA765D33B1}"/>
    <cellStyle name="Nota 2 2" xfId="62" xr:uid="{191EC693-335C-444A-8F3A-03C32B6E7479}"/>
    <cellStyle name="Nota 2 3" xfId="67" xr:uid="{42404CFB-A67A-4815-B6AF-EE3409F5DC2A}"/>
    <cellStyle name="Output 2" xfId="40" xr:uid="{263F2EBF-BD6B-44FE-9D46-B10A74FA4860}"/>
    <cellStyle name="Output 2 2" xfId="63" xr:uid="{A196F764-F59C-425F-9D41-4661C5EDBA97}"/>
    <cellStyle name="Output 2 3" xfId="68" xr:uid="{CF39B323-042D-4026-979C-DAA74A34936B}"/>
    <cellStyle name="Risultato" xfId="4" xr:uid="{9C2CE21F-3A8A-4394-8E3B-69EAC7976BDE}"/>
    <cellStyle name="Risultato2" xfId="5" xr:uid="{37CC9BD7-6A01-4668-967D-BE49170D5697}"/>
    <cellStyle name="Testo avviso 2" xfId="41" xr:uid="{45AF411D-B200-4357-8F96-37B73930B066}"/>
    <cellStyle name="Testo descrittivo 2" xfId="42" xr:uid="{59D1C6F5-CD9A-465B-8C47-DC7C2A8E4C82}"/>
    <cellStyle name="Titolo 1 2" xfId="44" xr:uid="{9BED7E3E-1BCB-4872-A8DC-410240C48EDB}"/>
    <cellStyle name="Titolo 2 2" xfId="45" xr:uid="{3A97A2DF-30B1-40D8-BD08-86338924608E}"/>
    <cellStyle name="Titolo 3 2" xfId="46" xr:uid="{87A5B068-340F-460C-ADCB-2A2FA66A0306}"/>
    <cellStyle name="Titolo 4 2" xfId="47" xr:uid="{16E8BEEB-7A3C-43A2-93A2-44C60341293F}"/>
    <cellStyle name="Titolo 5" xfId="43" xr:uid="{EB7A8C88-F43E-4FF2-A5F4-566D45A7F305}"/>
    <cellStyle name="Totale 2" xfId="48" xr:uid="{E50A78DE-36C3-4A50-B5D3-35AE382DB801}"/>
    <cellStyle name="Totale 2 2" xfId="64" xr:uid="{A6C6A5E5-9BD7-4957-AE46-64D8D3D65B76}"/>
    <cellStyle name="Totale 2 3" xfId="69" xr:uid="{65630312-45B3-4F86-9C51-380279F1F1EE}"/>
    <cellStyle name="Valore non valido 2" xfId="49" xr:uid="{61736A24-CC03-413F-A4B1-E55773FF60D9}"/>
    <cellStyle name="Valore valido 2" xfId="50" xr:uid="{0FF5C0B0-BAA7-42DB-B4E1-341B86364318}"/>
  </cellStyles>
  <dxfs count="0"/>
  <tableStyles count="0" defaultTableStyle="TableStyleMedium2" defaultPivotStyle="PivotStyleLight16"/>
  <colors>
    <mruColors>
      <color rgb="FFFFD1D1"/>
      <color rgb="FFF18393"/>
      <color rgb="FFFF7D7D"/>
      <color rgb="FFFF5050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451816</xdr:colOff>
      <xdr:row>18</xdr:row>
      <xdr:rowOff>62120</xdr:rowOff>
    </xdr:from>
    <xdr:to>
      <xdr:col>16</xdr:col>
      <xdr:colOff>353636</xdr:colOff>
      <xdr:row>21</xdr:row>
      <xdr:rowOff>71645</xdr:rowOff>
    </xdr:to>
    <xdr:sp macro="" textlink="">
      <xdr:nvSpPr>
        <xdr:cNvPr id="1072" name="Text Box 48" hidden="1">
          <a:extLst>
            <a:ext uri="{FF2B5EF4-FFF2-40B4-BE49-F238E27FC236}">
              <a16:creationId xmlns:a16="http://schemas.microsoft.com/office/drawing/2014/main" id="{65841F8C-420D-4150-924A-AFD0F5067997}"/>
            </a:ext>
          </a:extLst>
        </xdr:cNvPr>
        <xdr:cNvSpPr txBox="1">
          <a:spLocks noChangeArrowheads="1"/>
        </xdr:cNvSpPr>
      </xdr:nvSpPr>
      <xdr:spPr bwMode="auto">
        <a:xfrm>
          <a:off x="10106025" y="5019675"/>
          <a:ext cx="19431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656971</xdr:colOff>
      <xdr:row>19</xdr:row>
      <xdr:rowOff>62120</xdr:rowOff>
    </xdr:from>
    <xdr:to>
      <xdr:col>9</xdr:col>
      <xdr:colOff>266445</xdr:colOff>
      <xdr:row>22</xdr:row>
      <xdr:rowOff>69574</xdr:rowOff>
    </xdr:to>
    <xdr:sp macro="" textlink="">
      <xdr:nvSpPr>
        <xdr:cNvPr id="1079" name="Text Box 55" hidden="1">
          <a:extLst>
            <a:ext uri="{FF2B5EF4-FFF2-40B4-BE49-F238E27FC236}">
              <a16:creationId xmlns:a16="http://schemas.microsoft.com/office/drawing/2014/main" id="{AE991D19-9261-4EE8-B65E-AF61314D8DBA}"/>
            </a:ext>
          </a:extLst>
        </xdr:cNvPr>
        <xdr:cNvSpPr txBox="1">
          <a:spLocks noChangeArrowheads="1"/>
        </xdr:cNvSpPr>
      </xdr:nvSpPr>
      <xdr:spPr bwMode="auto">
        <a:xfrm>
          <a:off x="5210175" y="5267325"/>
          <a:ext cx="164782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637921</xdr:colOff>
      <xdr:row>7</xdr:row>
      <xdr:rowOff>131280</xdr:rowOff>
    </xdr:from>
    <xdr:to>
      <xdr:col>10</xdr:col>
      <xdr:colOff>171195</xdr:colOff>
      <xdr:row>10</xdr:row>
      <xdr:rowOff>272498</xdr:rowOff>
    </xdr:to>
    <xdr:sp macro="" textlink="">
      <xdr:nvSpPr>
        <xdr:cNvPr id="1080" name="Text Box 56" hidden="1">
          <a:extLst>
            <a:ext uri="{FF2B5EF4-FFF2-40B4-BE49-F238E27FC236}">
              <a16:creationId xmlns:a16="http://schemas.microsoft.com/office/drawing/2014/main" id="{34DDCEA8-AD7C-4FCC-8B2E-B5FF28E0D415}"/>
            </a:ext>
          </a:extLst>
        </xdr:cNvPr>
        <xdr:cNvSpPr txBox="1">
          <a:spLocks noChangeArrowheads="1"/>
        </xdr:cNvSpPr>
      </xdr:nvSpPr>
      <xdr:spPr bwMode="auto">
        <a:xfrm>
          <a:off x="5191125" y="1828800"/>
          <a:ext cx="2590800" cy="1019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656971</xdr:colOff>
      <xdr:row>8</xdr:row>
      <xdr:rowOff>45554</xdr:rowOff>
    </xdr:from>
    <xdr:to>
      <xdr:col>9</xdr:col>
      <xdr:colOff>266445</xdr:colOff>
      <xdr:row>10</xdr:row>
      <xdr:rowOff>168551</xdr:rowOff>
    </xdr:to>
    <xdr:sp macro="" textlink="">
      <xdr:nvSpPr>
        <xdr:cNvPr id="1082" name="Text Box 58" hidden="1">
          <a:extLst>
            <a:ext uri="{FF2B5EF4-FFF2-40B4-BE49-F238E27FC236}">
              <a16:creationId xmlns:a16="http://schemas.microsoft.com/office/drawing/2014/main" id="{5FB21628-E6D8-46A2-BF39-C965161ACFC5}"/>
            </a:ext>
          </a:extLst>
        </xdr:cNvPr>
        <xdr:cNvSpPr txBox="1">
          <a:spLocks noChangeArrowheads="1"/>
        </xdr:cNvSpPr>
      </xdr:nvSpPr>
      <xdr:spPr bwMode="auto">
        <a:xfrm>
          <a:off x="5210175" y="1990725"/>
          <a:ext cx="164782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656971</xdr:colOff>
      <xdr:row>9</xdr:row>
      <xdr:rowOff>45554</xdr:rowOff>
    </xdr:from>
    <xdr:to>
      <xdr:col>9</xdr:col>
      <xdr:colOff>266445</xdr:colOff>
      <xdr:row>11</xdr:row>
      <xdr:rowOff>34373</xdr:rowOff>
    </xdr:to>
    <xdr:sp macro="" textlink="">
      <xdr:nvSpPr>
        <xdr:cNvPr id="1083" name="Text Box 59" hidden="1">
          <a:extLst>
            <a:ext uri="{FF2B5EF4-FFF2-40B4-BE49-F238E27FC236}">
              <a16:creationId xmlns:a16="http://schemas.microsoft.com/office/drawing/2014/main" id="{E617400B-1169-4BD0-816D-E797BAC2665C}"/>
            </a:ext>
          </a:extLst>
        </xdr:cNvPr>
        <xdr:cNvSpPr txBox="1">
          <a:spLocks noChangeArrowheads="1"/>
        </xdr:cNvSpPr>
      </xdr:nvSpPr>
      <xdr:spPr bwMode="auto">
        <a:xfrm>
          <a:off x="5210175" y="2238375"/>
          <a:ext cx="164782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656971</xdr:colOff>
      <xdr:row>18</xdr:row>
      <xdr:rowOff>62120</xdr:rowOff>
    </xdr:from>
    <xdr:to>
      <xdr:col>14</xdr:col>
      <xdr:colOff>2675</xdr:colOff>
      <xdr:row>21</xdr:row>
      <xdr:rowOff>71645</xdr:rowOff>
    </xdr:to>
    <xdr:sp macro="" textlink="">
      <xdr:nvSpPr>
        <xdr:cNvPr id="1084" name="Text Box 60" hidden="1">
          <a:extLst>
            <a:ext uri="{FF2B5EF4-FFF2-40B4-BE49-F238E27FC236}">
              <a16:creationId xmlns:a16="http://schemas.microsoft.com/office/drawing/2014/main" id="{DB0C37EA-CF1D-47DE-A0EC-A96C84EEABAE}"/>
            </a:ext>
          </a:extLst>
        </xdr:cNvPr>
        <xdr:cNvSpPr txBox="1">
          <a:spLocks noChangeArrowheads="1"/>
        </xdr:cNvSpPr>
      </xdr:nvSpPr>
      <xdr:spPr bwMode="auto">
        <a:xfrm>
          <a:off x="5210175" y="5019675"/>
          <a:ext cx="44481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656971</xdr:colOff>
      <xdr:row>9</xdr:row>
      <xdr:rowOff>292376</xdr:rowOff>
    </xdr:from>
    <xdr:to>
      <xdr:col>13</xdr:col>
      <xdr:colOff>935711</xdr:colOff>
      <xdr:row>11</xdr:row>
      <xdr:rowOff>290719</xdr:rowOff>
    </xdr:to>
    <xdr:sp macro="" textlink="">
      <xdr:nvSpPr>
        <xdr:cNvPr id="1086" name="Text Box 62" hidden="1">
          <a:extLst>
            <a:ext uri="{FF2B5EF4-FFF2-40B4-BE49-F238E27FC236}">
              <a16:creationId xmlns:a16="http://schemas.microsoft.com/office/drawing/2014/main" id="{9400C158-2A71-4F7E-97D3-8EA4AB679989}"/>
            </a:ext>
          </a:extLst>
        </xdr:cNvPr>
        <xdr:cNvSpPr txBox="1">
          <a:spLocks noChangeArrowheads="1"/>
        </xdr:cNvSpPr>
      </xdr:nvSpPr>
      <xdr:spPr bwMode="auto">
        <a:xfrm>
          <a:off x="5210175" y="2486025"/>
          <a:ext cx="436245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656971</xdr:colOff>
      <xdr:row>4</xdr:row>
      <xdr:rowOff>95250</xdr:rowOff>
    </xdr:from>
    <xdr:to>
      <xdr:col>9</xdr:col>
      <xdr:colOff>266445</xdr:colOff>
      <xdr:row>7</xdr:row>
      <xdr:rowOff>121755</xdr:rowOff>
    </xdr:to>
    <xdr:sp macro="" textlink="">
      <xdr:nvSpPr>
        <xdr:cNvPr id="1088" name="Text Box 64" hidden="1">
          <a:extLst>
            <a:ext uri="{FF2B5EF4-FFF2-40B4-BE49-F238E27FC236}">
              <a16:creationId xmlns:a16="http://schemas.microsoft.com/office/drawing/2014/main" id="{15C69329-E1C2-4EA3-AB8C-D2AB48BB8AC7}"/>
            </a:ext>
          </a:extLst>
        </xdr:cNvPr>
        <xdr:cNvSpPr txBox="1">
          <a:spLocks noChangeArrowheads="1"/>
        </xdr:cNvSpPr>
      </xdr:nvSpPr>
      <xdr:spPr bwMode="auto">
        <a:xfrm>
          <a:off x="5210175" y="1066800"/>
          <a:ext cx="164782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656971</xdr:colOff>
      <xdr:row>13</xdr:row>
      <xdr:rowOff>62119</xdr:rowOff>
    </xdr:from>
    <xdr:to>
      <xdr:col>10</xdr:col>
      <xdr:colOff>380745</xdr:colOff>
      <xdr:row>16</xdr:row>
      <xdr:rowOff>71644</xdr:rowOff>
    </xdr:to>
    <xdr:sp macro="" textlink="">
      <xdr:nvSpPr>
        <xdr:cNvPr id="1089" name="Text Box 65" hidden="1">
          <a:extLst>
            <a:ext uri="{FF2B5EF4-FFF2-40B4-BE49-F238E27FC236}">
              <a16:creationId xmlns:a16="http://schemas.microsoft.com/office/drawing/2014/main" id="{79B68AA7-86B0-48DE-AA8D-C948C01DE43B}"/>
            </a:ext>
          </a:extLst>
        </xdr:cNvPr>
        <xdr:cNvSpPr txBox="1">
          <a:spLocks noChangeArrowheads="1"/>
        </xdr:cNvSpPr>
      </xdr:nvSpPr>
      <xdr:spPr bwMode="auto">
        <a:xfrm>
          <a:off x="5210175" y="3781425"/>
          <a:ext cx="27813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5163-2091-4055-B735-265C74429A67}">
  <dimension ref="A1:G35"/>
  <sheetViews>
    <sheetView tabSelected="1" topLeftCell="A16" zoomScale="145" zoomScaleNormal="145" workbookViewId="0">
      <selection activeCell="F30" sqref="F30"/>
    </sheetView>
  </sheetViews>
  <sheetFormatPr defaultRowHeight="15" x14ac:dyDescent="0.25"/>
  <cols>
    <col min="1" max="1" width="10.5703125" customWidth="1"/>
    <col min="2" max="2" width="57.5703125" customWidth="1"/>
    <col min="3" max="4" width="19.42578125" style="12" customWidth="1"/>
    <col min="5" max="5" width="19.42578125" style="4" customWidth="1"/>
    <col min="6" max="6" width="13.28515625" bestFit="1" customWidth="1"/>
    <col min="7" max="7" width="14.42578125" customWidth="1"/>
    <col min="8" max="8" width="17.28515625" customWidth="1"/>
  </cols>
  <sheetData>
    <row r="1" spans="1:5" x14ac:dyDescent="0.25">
      <c r="A1" s="98" t="s">
        <v>155</v>
      </c>
      <c r="B1" s="98"/>
      <c r="C1" s="98"/>
      <c r="D1" s="98"/>
      <c r="E1" s="98"/>
    </row>
    <row r="2" spans="1:5" x14ac:dyDescent="0.25">
      <c r="A2" s="98"/>
      <c r="B2" s="98"/>
      <c r="C2" s="98"/>
      <c r="D2" s="98"/>
      <c r="E2" s="98"/>
    </row>
    <row r="3" spans="1:5" ht="18.75" x14ac:dyDescent="0.25">
      <c r="A3" s="1"/>
      <c r="B3" s="2" t="s">
        <v>0</v>
      </c>
      <c r="C3" s="76" t="s">
        <v>88</v>
      </c>
      <c r="D3" s="76" t="s">
        <v>89</v>
      </c>
      <c r="E3" s="89" t="s">
        <v>142</v>
      </c>
    </row>
    <row r="4" spans="1:5" ht="18.75" x14ac:dyDescent="0.25">
      <c r="A4" s="5"/>
      <c r="B4" s="6" t="s">
        <v>2</v>
      </c>
      <c r="C4" s="7">
        <f>SUM(C5:C6)</f>
        <v>80000</v>
      </c>
      <c r="D4" s="7">
        <f>SUM(D5:D6)</f>
        <v>0</v>
      </c>
      <c r="E4" s="7">
        <f>SUM(E5:E6)</f>
        <v>0</v>
      </c>
    </row>
    <row r="5" spans="1:5" x14ac:dyDescent="0.25">
      <c r="A5" s="9" t="s">
        <v>143</v>
      </c>
      <c r="B5" s="10" t="s">
        <v>3</v>
      </c>
      <c r="C5" s="25">
        <v>55000</v>
      </c>
      <c r="D5" s="25"/>
      <c r="E5" s="8"/>
    </row>
    <row r="6" spans="1:5" x14ac:dyDescent="0.25">
      <c r="A6" s="11" t="s">
        <v>144</v>
      </c>
      <c r="B6" s="10" t="s">
        <v>5</v>
      </c>
      <c r="C6" s="25">
        <v>25000</v>
      </c>
      <c r="D6" s="25">
        <v>0</v>
      </c>
      <c r="E6" s="8"/>
    </row>
    <row r="7" spans="1:5" ht="18.75" x14ac:dyDescent="0.25">
      <c r="A7" s="5"/>
      <c r="B7" s="6" t="s">
        <v>7</v>
      </c>
      <c r="C7" s="7">
        <f>SUM(C8:C20)</f>
        <v>40438723</v>
      </c>
      <c r="D7" s="7">
        <f>SUM(D8:D20)</f>
        <v>14977279.050000001</v>
      </c>
      <c r="E7" s="7">
        <f>SUM(E8:E20)</f>
        <v>6186075.96</v>
      </c>
    </row>
    <row r="8" spans="1:5" x14ac:dyDescent="0.25">
      <c r="A8" s="64" t="s">
        <v>8</v>
      </c>
      <c r="B8" s="65" t="s">
        <v>9</v>
      </c>
      <c r="C8" s="67">
        <v>1300000</v>
      </c>
      <c r="D8" s="67">
        <v>0</v>
      </c>
      <c r="E8" s="66"/>
    </row>
    <row r="9" spans="1:5" x14ac:dyDescent="0.25">
      <c r="A9" s="64" t="s">
        <v>10</v>
      </c>
      <c r="B9" s="65" t="s">
        <v>11</v>
      </c>
      <c r="C9" s="67">
        <v>940000</v>
      </c>
      <c r="D9" s="67">
        <v>0</v>
      </c>
      <c r="E9" s="66"/>
    </row>
    <row r="10" spans="1:5" x14ac:dyDescent="0.25">
      <c r="A10" s="64" t="s">
        <v>12</v>
      </c>
      <c r="B10" s="65" t="s">
        <v>11</v>
      </c>
      <c r="C10" s="67">
        <v>0</v>
      </c>
      <c r="D10" s="67">
        <v>0</v>
      </c>
      <c r="E10" s="66"/>
    </row>
    <row r="11" spans="1:5" ht="30" x14ac:dyDescent="0.25">
      <c r="A11" s="68" t="s">
        <v>13</v>
      </c>
      <c r="B11" s="69" t="s">
        <v>133</v>
      </c>
      <c r="C11" s="67">
        <v>50000</v>
      </c>
      <c r="D11" s="67">
        <v>0</v>
      </c>
      <c r="E11" s="66"/>
    </row>
    <row r="12" spans="1:5" ht="30" x14ac:dyDescent="0.25">
      <c r="A12" s="68" t="s">
        <v>15</v>
      </c>
      <c r="B12" s="69" t="s">
        <v>133</v>
      </c>
      <c r="C12" s="67">
        <v>0</v>
      </c>
      <c r="D12" s="67">
        <v>0</v>
      </c>
      <c r="E12" s="66"/>
    </row>
    <row r="13" spans="1:5" ht="30" x14ac:dyDescent="0.25">
      <c r="A13" s="68" t="s">
        <v>63</v>
      </c>
      <c r="B13" s="69" t="s">
        <v>133</v>
      </c>
      <c r="C13" s="67">
        <v>2000000</v>
      </c>
      <c r="D13" s="67">
        <v>600000</v>
      </c>
      <c r="E13" s="66"/>
    </row>
    <row r="14" spans="1:5" ht="30" x14ac:dyDescent="0.25">
      <c r="A14" s="68" t="s">
        <v>145</v>
      </c>
      <c r="B14" s="69" t="s">
        <v>133</v>
      </c>
      <c r="C14" s="67">
        <v>100000</v>
      </c>
      <c r="D14" s="67"/>
      <c r="E14" s="66"/>
    </row>
    <row r="15" spans="1:5" x14ac:dyDescent="0.25">
      <c r="A15" s="68" t="s">
        <v>146</v>
      </c>
      <c r="B15" s="65" t="s">
        <v>16</v>
      </c>
      <c r="C15" s="67">
        <v>1540000</v>
      </c>
      <c r="D15" s="67">
        <v>5587000</v>
      </c>
      <c r="E15" s="66"/>
    </row>
    <row r="16" spans="1:5" x14ac:dyDescent="0.25">
      <c r="A16" s="68" t="s">
        <v>17</v>
      </c>
      <c r="B16" s="65" t="s">
        <v>18</v>
      </c>
      <c r="C16" s="67">
        <v>0</v>
      </c>
      <c r="D16" s="67">
        <v>0</v>
      </c>
      <c r="E16" s="66"/>
    </row>
    <row r="17" spans="1:7" x14ac:dyDescent="0.25">
      <c r="A17" s="68" t="s">
        <v>19</v>
      </c>
      <c r="B17" s="65" t="s">
        <v>18</v>
      </c>
      <c r="C17" s="67">
        <v>0</v>
      </c>
      <c r="D17" s="67">
        <v>0</v>
      </c>
      <c r="E17" s="66"/>
    </row>
    <row r="18" spans="1:7" x14ac:dyDescent="0.25">
      <c r="A18" s="68" t="s">
        <v>147</v>
      </c>
      <c r="B18" s="65" t="s">
        <v>18</v>
      </c>
      <c r="C18" s="67">
        <v>20000</v>
      </c>
      <c r="D18" s="67">
        <v>0</v>
      </c>
      <c r="E18" s="66"/>
    </row>
    <row r="19" spans="1:7" x14ac:dyDescent="0.25">
      <c r="A19" s="71" t="s">
        <v>22</v>
      </c>
      <c r="B19" s="72" t="s">
        <v>150</v>
      </c>
      <c r="C19" s="66">
        <v>10385150</v>
      </c>
      <c r="D19" s="67">
        <v>2338891.0699999998</v>
      </c>
      <c r="E19" s="67">
        <v>4009536.94</v>
      </c>
      <c r="G19" s="4"/>
    </row>
    <row r="20" spans="1:7" x14ac:dyDescent="0.25">
      <c r="A20" s="71" t="s">
        <v>131</v>
      </c>
      <c r="B20" s="72" t="s">
        <v>132</v>
      </c>
      <c r="C20" s="66">
        <v>24103573</v>
      </c>
      <c r="D20" s="67">
        <v>6451387.9800000004</v>
      </c>
      <c r="E20" s="67">
        <v>2176539.02</v>
      </c>
      <c r="G20" s="4"/>
    </row>
    <row r="21" spans="1:7" ht="19.5" thickBot="1" x14ac:dyDescent="0.3">
      <c r="A21" s="13"/>
      <c r="B21" s="14" t="s">
        <v>27</v>
      </c>
      <c r="C21" s="7">
        <f>C4+C7</f>
        <v>40518723</v>
      </c>
      <c r="D21" s="7">
        <f t="shared" ref="D21:E21" si="0">D4+D7</f>
        <v>14977279.050000001</v>
      </c>
      <c r="E21" s="7">
        <f t="shared" si="0"/>
        <v>6186075.96</v>
      </c>
    </row>
    <row r="22" spans="1:7" ht="15.75" thickTop="1" x14ac:dyDescent="0.25">
      <c r="C22" s="3"/>
      <c r="D22" s="3"/>
      <c r="E22" s="90"/>
    </row>
    <row r="23" spans="1:7" ht="18.75" x14ac:dyDescent="0.25">
      <c r="A23" s="1"/>
      <c r="B23" s="15" t="s">
        <v>28</v>
      </c>
      <c r="C23" s="76" t="s">
        <v>88</v>
      </c>
      <c r="D23" s="76" t="s">
        <v>89</v>
      </c>
      <c r="E23" s="90"/>
    </row>
    <row r="24" spans="1:7" x14ac:dyDescent="0.25">
      <c r="A24" s="64" t="s">
        <v>31</v>
      </c>
      <c r="B24" s="65" t="s">
        <v>32</v>
      </c>
      <c r="C24" s="74">
        <f>C8+C9</f>
        <v>2240000</v>
      </c>
      <c r="D24" s="74">
        <f>700000+238000+550000</f>
        <v>1488000</v>
      </c>
      <c r="E24" s="66"/>
    </row>
    <row r="25" spans="1:7" x14ac:dyDescent="0.25">
      <c r="A25" s="73" t="s">
        <v>33</v>
      </c>
      <c r="B25" s="65" t="s">
        <v>75</v>
      </c>
      <c r="C25" s="74"/>
      <c r="D25" s="74"/>
      <c r="E25" s="66">
        <v>3000000</v>
      </c>
    </row>
    <row r="26" spans="1:7" x14ac:dyDescent="0.25">
      <c r="A26" s="73" t="s">
        <v>34</v>
      </c>
      <c r="B26" s="65" t="s">
        <v>76</v>
      </c>
      <c r="C26" s="74">
        <f>C11</f>
        <v>50000</v>
      </c>
      <c r="D26" s="74">
        <f>378000+200000+5891.07</f>
        <v>583891.06999999995</v>
      </c>
      <c r="E26" s="66"/>
    </row>
    <row r="27" spans="1:7" x14ac:dyDescent="0.25">
      <c r="A27" s="73" t="s">
        <v>35</v>
      </c>
      <c r="B27" s="65" t="s">
        <v>77</v>
      </c>
      <c r="C27" s="74"/>
      <c r="D27" s="74">
        <v>1167002.0900000001</v>
      </c>
      <c r="E27" s="66">
        <v>1009536.94</v>
      </c>
    </row>
    <row r="28" spans="1:7" x14ac:dyDescent="0.25">
      <c r="A28" s="73" t="s">
        <v>127</v>
      </c>
      <c r="B28" s="65" t="s">
        <v>129</v>
      </c>
      <c r="C28" s="74">
        <v>10118150</v>
      </c>
      <c r="D28" s="74"/>
      <c r="E28" s="66"/>
    </row>
    <row r="29" spans="1:7" x14ac:dyDescent="0.25">
      <c r="A29" s="73" t="s">
        <v>128</v>
      </c>
      <c r="B29" s="65" t="s">
        <v>130</v>
      </c>
      <c r="C29" s="74">
        <f>21603573</f>
        <v>21603573</v>
      </c>
      <c r="D29" s="74"/>
      <c r="E29" s="66"/>
    </row>
    <row r="30" spans="1:7" x14ac:dyDescent="0.25">
      <c r="A30" s="73" t="s">
        <v>37</v>
      </c>
      <c r="B30" s="65" t="s">
        <v>78</v>
      </c>
      <c r="C30" s="74"/>
      <c r="D30" s="74"/>
      <c r="E30" s="66">
        <f>E20</f>
        <v>2176539.02</v>
      </c>
    </row>
    <row r="31" spans="1:7" x14ac:dyDescent="0.25">
      <c r="A31" s="73" t="s">
        <v>66</v>
      </c>
      <c r="B31" s="65" t="s">
        <v>79</v>
      </c>
      <c r="C31" s="74">
        <f>267000+C13</f>
        <v>2267000</v>
      </c>
      <c r="D31" s="74">
        <f>3000000+2284385.89+D13</f>
        <v>5884385.8900000006</v>
      </c>
      <c r="E31" s="66"/>
    </row>
    <row r="32" spans="1:7" x14ac:dyDescent="0.25">
      <c r="A32" s="73" t="s">
        <v>149</v>
      </c>
      <c r="B32" s="65" t="s">
        <v>148</v>
      </c>
      <c r="C32" s="74">
        <f>C5+C6+C14+C15+C18+2500000</f>
        <v>4240000</v>
      </c>
      <c r="D32" s="91">
        <f>D15+267000</f>
        <v>5854000</v>
      </c>
      <c r="E32" s="92"/>
    </row>
    <row r="33" spans="1:5" ht="19.5" thickBot="1" x14ac:dyDescent="0.3">
      <c r="A33" s="13"/>
      <c r="B33" s="14" t="s">
        <v>40</v>
      </c>
      <c r="C33" s="7">
        <f>SUM(C24:C32)</f>
        <v>40518723</v>
      </c>
      <c r="D33" s="7">
        <f t="shared" ref="D33:E33" si="1">SUM(D24:D32)</f>
        <v>14977279.050000001</v>
      </c>
      <c r="E33" s="7">
        <f t="shared" si="1"/>
        <v>6186075.96</v>
      </c>
    </row>
    <row r="34" spans="1:5" ht="15.75" thickTop="1" x14ac:dyDescent="0.25"/>
    <row r="35" spans="1:5" x14ac:dyDescent="0.25">
      <c r="B35" s="24"/>
    </row>
  </sheetData>
  <mergeCells count="1">
    <mergeCell ref="A1:E2"/>
  </mergeCells>
  <phoneticPr fontId="10" type="noConversion"/>
  <pageMargins left="0.32" right="0.47" top="0.74803149606299213" bottom="0.74803149606299213" header="0.31496062992125984" footer="0.31496062992125984"/>
  <pageSetup paperSize="9" scale="75" orientation="portrait" r:id="rId1"/>
  <ignoredErrors>
    <ignoredError sqref="C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4F60-1FA4-4A0F-8AB0-2D7752E72528}">
  <dimension ref="A1:X114"/>
  <sheetViews>
    <sheetView topLeftCell="A7" zoomScale="115" zoomScaleNormal="115" workbookViewId="0">
      <selection activeCell="B15" sqref="B15"/>
    </sheetView>
  </sheetViews>
  <sheetFormatPr defaultRowHeight="15" x14ac:dyDescent="0.25"/>
  <cols>
    <col min="1" max="1" width="10.5703125" customWidth="1"/>
    <col min="2" max="2" width="45.28515625" customWidth="1"/>
    <col min="3" max="3" width="12.5703125" bestFit="1" customWidth="1"/>
    <col min="4" max="5" width="15.28515625" style="12" hidden="1" customWidth="1"/>
    <col min="6" max="6" width="15.28515625" style="12" customWidth="1"/>
    <col min="7" max="8" width="15.28515625" style="12" hidden="1" customWidth="1"/>
    <col min="9" max="11" width="15.28515625" style="12" customWidth="1"/>
    <col min="12" max="13" width="15.28515625" style="12" hidden="1" customWidth="1"/>
    <col min="14" max="18" width="15.28515625" style="12" customWidth="1"/>
    <col min="19" max="19" width="18.140625" customWidth="1"/>
    <col min="21" max="22" width="17.140625" style="12" customWidth="1"/>
    <col min="23" max="23" width="17.140625" style="4" customWidth="1"/>
    <col min="24" max="24" width="18.140625" customWidth="1"/>
  </cols>
  <sheetData>
    <row r="1" spans="1:24" ht="18.75" x14ac:dyDescent="0.25">
      <c r="A1" s="1"/>
      <c r="B1" s="2" t="s">
        <v>0</v>
      </c>
      <c r="C1" s="75" t="s">
        <v>84</v>
      </c>
      <c r="D1" s="76" t="s">
        <v>81</v>
      </c>
      <c r="E1" s="76" t="s">
        <v>102</v>
      </c>
      <c r="F1" s="76" t="s">
        <v>81</v>
      </c>
      <c r="G1" s="76" t="s">
        <v>1</v>
      </c>
      <c r="H1" s="76" t="s">
        <v>102</v>
      </c>
      <c r="I1" s="76" t="s">
        <v>116</v>
      </c>
      <c r="J1" s="76" t="s">
        <v>81</v>
      </c>
      <c r="K1" s="76" t="s">
        <v>88</v>
      </c>
      <c r="L1" s="76" t="s">
        <v>68</v>
      </c>
      <c r="M1" s="76" t="s">
        <v>102</v>
      </c>
      <c r="N1" s="76" t="s">
        <v>116</v>
      </c>
      <c r="O1" s="76" t="s">
        <v>88</v>
      </c>
      <c r="P1" s="76" t="s">
        <v>89</v>
      </c>
      <c r="Q1" s="76" t="s">
        <v>116</v>
      </c>
      <c r="R1" s="76" t="s">
        <v>89</v>
      </c>
      <c r="U1" s="76" t="s">
        <v>88</v>
      </c>
      <c r="V1" s="76" t="s">
        <v>89</v>
      </c>
      <c r="W1" s="89" t="s">
        <v>142</v>
      </c>
    </row>
    <row r="2" spans="1:24" ht="18.75" x14ac:dyDescent="0.25">
      <c r="A2" s="5"/>
      <c r="B2" s="6" t="s">
        <v>2</v>
      </c>
      <c r="C2" s="6"/>
      <c r="D2" s="7">
        <f t="shared" ref="D2:N2" si="0">SUM(D3:D5)</f>
        <v>49320.54</v>
      </c>
      <c r="E2" s="7">
        <f t="shared" si="0"/>
        <v>0</v>
      </c>
      <c r="F2" s="7">
        <f t="shared" si="0"/>
        <v>49320.54</v>
      </c>
      <c r="G2" s="7">
        <f t="shared" si="0"/>
        <v>50000</v>
      </c>
      <c r="H2" s="7">
        <f t="shared" si="0"/>
        <v>0</v>
      </c>
      <c r="I2" s="7">
        <f>SUM(I3:I5)</f>
        <v>0</v>
      </c>
      <c r="J2" s="7">
        <f>F2+I2</f>
        <v>49320.54</v>
      </c>
      <c r="K2" s="7">
        <f t="shared" si="0"/>
        <v>50000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>SUM(K2+N2)</f>
        <v>50000</v>
      </c>
      <c r="P2" s="7">
        <f>SUM(P3:P5)</f>
        <v>0</v>
      </c>
      <c r="Q2" s="7">
        <f>SUM(Q3:Q5)</f>
        <v>0</v>
      </c>
      <c r="R2" s="7">
        <f>SUM(P2:Q2)</f>
        <v>0</v>
      </c>
      <c r="U2" s="7">
        <f>SUM(U3:U5)</f>
        <v>80000</v>
      </c>
      <c r="V2" s="7">
        <f t="shared" ref="V2:W2" si="1">SUM(V3:V5)</f>
        <v>0</v>
      </c>
      <c r="W2" s="7">
        <f t="shared" si="1"/>
        <v>0</v>
      </c>
    </row>
    <row r="3" spans="1:24" s="63" customFormat="1" ht="19.5" customHeight="1" x14ac:dyDescent="0.2">
      <c r="A3" s="9" t="s">
        <v>64</v>
      </c>
      <c r="B3" s="10" t="s">
        <v>3</v>
      </c>
      <c r="C3" s="10" t="s">
        <v>87</v>
      </c>
      <c r="D3" s="8">
        <v>20000</v>
      </c>
      <c r="E3" s="8"/>
      <c r="F3" s="8">
        <f t="shared" ref="F3:F5" si="2">D3+E3</f>
        <v>20000</v>
      </c>
      <c r="G3" s="8">
        <v>20000</v>
      </c>
      <c r="H3" s="8"/>
      <c r="I3" s="8"/>
      <c r="J3" s="25">
        <f t="shared" ref="J3:J23" si="3">F3+I3</f>
        <v>20000</v>
      </c>
      <c r="K3" s="8">
        <f t="shared" ref="K3:K5" si="4">G3+H3</f>
        <v>20000</v>
      </c>
      <c r="L3" s="8"/>
      <c r="M3" s="8"/>
      <c r="N3" s="8"/>
      <c r="O3" s="25">
        <f t="shared" ref="O3:O5" si="5">SUM(K3+N3)</f>
        <v>20000</v>
      </c>
      <c r="P3" s="8">
        <f t="shared" ref="P3:P5" si="6">L3+M3</f>
        <v>0</v>
      </c>
      <c r="Q3" s="25"/>
      <c r="R3" s="25">
        <f t="shared" ref="R3:R23" si="7">SUM(P3:Q3)</f>
        <v>0</v>
      </c>
      <c r="U3" s="25">
        <v>50000</v>
      </c>
      <c r="V3" s="25">
        <v>0</v>
      </c>
      <c r="W3" s="8"/>
    </row>
    <row r="4" spans="1:24" s="63" customFormat="1" ht="19.5" customHeight="1" x14ac:dyDescent="0.2">
      <c r="A4" s="11" t="s">
        <v>4</v>
      </c>
      <c r="B4" s="10" t="s">
        <v>5</v>
      </c>
      <c r="C4" s="10" t="s">
        <v>87</v>
      </c>
      <c r="D4" s="8">
        <v>29320.54</v>
      </c>
      <c r="E4" s="8"/>
      <c r="F4" s="8">
        <f t="shared" si="2"/>
        <v>29320.54</v>
      </c>
      <c r="G4" s="8"/>
      <c r="H4" s="8"/>
      <c r="I4" s="8"/>
      <c r="J4" s="25">
        <f t="shared" si="3"/>
        <v>29320.54</v>
      </c>
      <c r="K4" s="8">
        <f t="shared" si="4"/>
        <v>0</v>
      </c>
      <c r="L4" s="8"/>
      <c r="M4" s="8"/>
      <c r="N4" s="8"/>
      <c r="O4" s="25">
        <f t="shared" si="5"/>
        <v>0</v>
      </c>
      <c r="P4" s="8">
        <f t="shared" si="6"/>
        <v>0</v>
      </c>
      <c r="Q4" s="25"/>
      <c r="R4" s="25">
        <f t="shared" si="7"/>
        <v>0</v>
      </c>
      <c r="U4" s="25">
        <v>0</v>
      </c>
      <c r="V4" s="25">
        <v>0</v>
      </c>
      <c r="W4" s="8"/>
    </row>
    <row r="5" spans="1:24" s="63" customFormat="1" ht="19.5" customHeight="1" x14ac:dyDescent="0.2">
      <c r="A5" s="11" t="s">
        <v>6</v>
      </c>
      <c r="B5" s="10" t="s">
        <v>5</v>
      </c>
      <c r="C5" s="10"/>
      <c r="D5" s="8"/>
      <c r="E5" s="8"/>
      <c r="F5" s="8">
        <f t="shared" si="2"/>
        <v>0</v>
      </c>
      <c r="G5" s="25">
        <v>30000</v>
      </c>
      <c r="H5" s="25"/>
      <c r="I5" s="25"/>
      <c r="J5" s="25">
        <f t="shared" si="3"/>
        <v>0</v>
      </c>
      <c r="K5" s="8">
        <f t="shared" si="4"/>
        <v>30000</v>
      </c>
      <c r="L5" s="25"/>
      <c r="M5" s="25"/>
      <c r="N5" s="25"/>
      <c r="O5" s="25">
        <f t="shared" si="5"/>
        <v>30000</v>
      </c>
      <c r="P5" s="8">
        <f t="shared" si="6"/>
        <v>0</v>
      </c>
      <c r="Q5" s="25"/>
      <c r="R5" s="25">
        <f t="shared" si="7"/>
        <v>0</v>
      </c>
      <c r="U5" s="25">
        <v>30000</v>
      </c>
      <c r="V5" s="25">
        <v>0</v>
      </c>
      <c r="W5" s="8"/>
    </row>
    <row r="6" spans="1:24" ht="18.75" x14ac:dyDescent="0.25">
      <c r="A6" s="5"/>
      <c r="B6" s="6" t="s">
        <v>7</v>
      </c>
      <c r="C6" s="6"/>
      <c r="D6" s="7">
        <f t="shared" ref="D6:P6" si="8">SUM(D7:D22)</f>
        <v>12788709.219999999</v>
      </c>
      <c r="E6" s="7">
        <f t="shared" si="8"/>
        <v>4925221.78</v>
      </c>
      <c r="F6" s="7">
        <f t="shared" si="8"/>
        <v>17713931</v>
      </c>
      <c r="G6" s="7">
        <f t="shared" si="8"/>
        <v>10188430.1</v>
      </c>
      <c r="H6" s="7">
        <f t="shared" si="8"/>
        <v>0</v>
      </c>
      <c r="I6" s="7">
        <f>SUM(I7:I22)</f>
        <v>31721723</v>
      </c>
      <c r="J6" s="7">
        <f t="shared" si="3"/>
        <v>49435654</v>
      </c>
      <c r="K6" s="7">
        <f t="shared" si="8"/>
        <v>10188430.1</v>
      </c>
      <c r="L6" s="7">
        <f t="shared" si="8"/>
        <v>4493539.0199999996</v>
      </c>
      <c r="M6" s="7">
        <f t="shared" si="8"/>
        <v>4087000</v>
      </c>
      <c r="N6" s="7">
        <f>SUM(N7:N22)</f>
        <v>0</v>
      </c>
      <c r="O6" s="7">
        <f>SUM(K6+N6)</f>
        <v>10188430.1</v>
      </c>
      <c r="P6" s="7">
        <f t="shared" si="8"/>
        <v>8580539.0199999996</v>
      </c>
      <c r="Q6" s="7">
        <f>SUM(Q7:Q22)</f>
        <v>0</v>
      </c>
      <c r="R6" s="7">
        <f t="shared" si="7"/>
        <v>8580539.0199999996</v>
      </c>
      <c r="U6" s="7">
        <f>SUM(U7:U22)</f>
        <v>11478430.1</v>
      </c>
      <c r="V6" s="7">
        <f t="shared" ref="V6:W6" si="9">SUM(V7:V22)</f>
        <v>8580539.0199999996</v>
      </c>
      <c r="W6" s="7">
        <f t="shared" si="9"/>
        <v>37973108.890000001</v>
      </c>
    </row>
    <row r="7" spans="1:24" s="60" customFormat="1" ht="18.75" customHeight="1" x14ac:dyDescent="0.25">
      <c r="A7" s="64" t="s">
        <v>8</v>
      </c>
      <c r="B7" s="65" t="s">
        <v>9</v>
      </c>
      <c r="C7" s="65" t="s">
        <v>86</v>
      </c>
      <c r="D7" s="66">
        <v>3944441.23</v>
      </c>
      <c r="E7" s="66"/>
      <c r="F7" s="66">
        <f>D7+E7</f>
        <v>3944441.23</v>
      </c>
      <c r="G7" s="66"/>
      <c r="H7" s="66"/>
      <c r="I7" s="66"/>
      <c r="J7" s="67">
        <f>F7+I7</f>
        <v>3944441.23</v>
      </c>
      <c r="K7" s="66">
        <f>G7+H7</f>
        <v>0</v>
      </c>
      <c r="L7" s="66"/>
      <c r="M7" s="66"/>
      <c r="N7" s="66"/>
      <c r="O7" s="67">
        <f t="shared" ref="O7:O23" si="10">SUM(K7+N7)</f>
        <v>0</v>
      </c>
      <c r="P7" s="66">
        <f>L7+M7</f>
        <v>0</v>
      </c>
      <c r="Q7" s="67"/>
      <c r="R7" s="67">
        <f t="shared" si="7"/>
        <v>0</v>
      </c>
      <c r="U7" s="67">
        <v>580000</v>
      </c>
      <c r="V7" s="67">
        <v>0</v>
      </c>
      <c r="W7" s="66"/>
    </row>
    <row r="8" spans="1:24" s="60" customFormat="1" ht="19.5" customHeight="1" x14ac:dyDescent="0.25">
      <c r="A8" s="64" t="s">
        <v>10</v>
      </c>
      <c r="B8" s="65" t="s">
        <v>11</v>
      </c>
      <c r="C8" s="65" t="s">
        <v>87</v>
      </c>
      <c r="D8" s="66">
        <v>921086.18</v>
      </c>
      <c r="E8" s="66"/>
      <c r="F8" s="66">
        <f t="shared" ref="F8:F22" si="11">D8+E8</f>
        <v>921086.18</v>
      </c>
      <c r="G8" s="66"/>
      <c r="H8" s="66"/>
      <c r="I8" s="66"/>
      <c r="J8" s="67">
        <f t="shared" si="3"/>
        <v>921086.18</v>
      </c>
      <c r="K8" s="66">
        <f t="shared" ref="K8:K22" si="12">G8+H8</f>
        <v>0</v>
      </c>
      <c r="L8" s="66"/>
      <c r="M8" s="66"/>
      <c r="N8" s="66"/>
      <c r="O8" s="67">
        <f t="shared" si="10"/>
        <v>0</v>
      </c>
      <c r="P8" s="66">
        <f t="shared" ref="P8:P22" si="13">L8+M8</f>
        <v>0</v>
      </c>
      <c r="Q8" s="67"/>
      <c r="R8" s="67">
        <f t="shared" si="7"/>
        <v>0</v>
      </c>
      <c r="U8" s="67">
        <v>740000</v>
      </c>
      <c r="V8" s="67">
        <v>0</v>
      </c>
      <c r="W8" s="66"/>
    </row>
    <row r="9" spans="1:24" s="60" customFormat="1" ht="19.5" customHeight="1" x14ac:dyDescent="0.25">
      <c r="A9" s="64" t="s">
        <v>12</v>
      </c>
      <c r="B9" s="65" t="s">
        <v>11</v>
      </c>
      <c r="C9" s="65" t="s">
        <v>87</v>
      </c>
      <c r="D9" s="66">
        <v>501436.38</v>
      </c>
      <c r="E9" s="66"/>
      <c r="F9" s="66">
        <f t="shared" si="11"/>
        <v>501436.38</v>
      </c>
      <c r="G9" s="66"/>
      <c r="H9" s="66"/>
      <c r="I9" s="66"/>
      <c r="J9" s="67">
        <f t="shared" si="3"/>
        <v>501436.38</v>
      </c>
      <c r="K9" s="66">
        <f t="shared" si="12"/>
        <v>0</v>
      </c>
      <c r="L9" s="66"/>
      <c r="M9" s="66"/>
      <c r="N9" s="66"/>
      <c r="O9" s="67">
        <f t="shared" si="10"/>
        <v>0</v>
      </c>
      <c r="P9" s="66">
        <f t="shared" si="13"/>
        <v>0</v>
      </c>
      <c r="Q9" s="67"/>
      <c r="R9" s="67">
        <f t="shared" si="7"/>
        <v>0</v>
      </c>
      <c r="U9" s="67">
        <v>0</v>
      </c>
      <c r="V9" s="67">
        <v>0</v>
      </c>
      <c r="W9" s="66"/>
    </row>
    <row r="10" spans="1:24" s="60" customFormat="1" ht="30" x14ac:dyDescent="0.25">
      <c r="A10" s="68" t="s">
        <v>13</v>
      </c>
      <c r="B10" s="69" t="s">
        <v>133</v>
      </c>
      <c r="C10" s="69" t="s">
        <v>85</v>
      </c>
      <c r="D10" s="66">
        <v>100000</v>
      </c>
      <c r="E10" s="66"/>
      <c r="F10" s="66">
        <f t="shared" si="11"/>
        <v>100000</v>
      </c>
      <c r="G10" s="66"/>
      <c r="H10" s="66"/>
      <c r="I10" s="66"/>
      <c r="J10" s="67">
        <f t="shared" si="3"/>
        <v>100000</v>
      </c>
      <c r="K10" s="66">
        <f t="shared" si="12"/>
        <v>0</v>
      </c>
      <c r="L10" s="66"/>
      <c r="M10" s="66"/>
      <c r="N10" s="66"/>
      <c r="O10" s="67">
        <f t="shared" si="10"/>
        <v>0</v>
      </c>
      <c r="P10" s="66">
        <f t="shared" si="13"/>
        <v>0</v>
      </c>
      <c r="Q10" s="67"/>
      <c r="R10" s="67">
        <f t="shared" si="7"/>
        <v>0</v>
      </c>
      <c r="U10" s="67">
        <v>0</v>
      </c>
      <c r="V10" s="67">
        <v>0</v>
      </c>
      <c r="W10" s="66"/>
    </row>
    <row r="11" spans="1:24" s="60" customFormat="1" ht="30" x14ac:dyDescent="0.25">
      <c r="A11" s="68" t="s">
        <v>14</v>
      </c>
      <c r="B11" s="69" t="s">
        <v>133</v>
      </c>
      <c r="C11" s="69"/>
      <c r="D11" s="66"/>
      <c r="E11" s="66"/>
      <c r="F11" s="66">
        <f t="shared" si="11"/>
        <v>0</v>
      </c>
      <c r="G11" s="66"/>
      <c r="H11" s="66"/>
      <c r="I11" s="66"/>
      <c r="J11" s="67">
        <f t="shared" si="3"/>
        <v>0</v>
      </c>
      <c r="K11" s="66">
        <f t="shared" si="12"/>
        <v>0</v>
      </c>
      <c r="L11" s="66"/>
      <c r="M11" s="66"/>
      <c r="N11" s="66"/>
      <c r="O11" s="67">
        <f t="shared" si="10"/>
        <v>0</v>
      </c>
      <c r="P11" s="66">
        <f t="shared" si="13"/>
        <v>0</v>
      </c>
      <c r="Q11" s="67"/>
      <c r="R11" s="67">
        <f t="shared" si="7"/>
        <v>0</v>
      </c>
      <c r="U11" s="67">
        <v>0</v>
      </c>
      <c r="V11" s="67">
        <v>0</v>
      </c>
      <c r="W11" s="66"/>
      <c r="X11" s="57">
        <f>U3+U5+U13+U14+U17+2500000</f>
        <v>4240000</v>
      </c>
    </row>
    <row r="12" spans="1:24" s="60" customFormat="1" ht="30" x14ac:dyDescent="0.25">
      <c r="A12" s="68" t="s">
        <v>15</v>
      </c>
      <c r="B12" s="69" t="s">
        <v>133</v>
      </c>
      <c r="C12" s="69" t="s">
        <v>87</v>
      </c>
      <c r="D12" s="66">
        <v>26000</v>
      </c>
      <c r="E12" s="66"/>
      <c r="F12" s="66">
        <f t="shared" si="11"/>
        <v>26000</v>
      </c>
      <c r="G12" s="67"/>
      <c r="H12" s="67"/>
      <c r="I12" s="67"/>
      <c r="J12" s="67">
        <f t="shared" si="3"/>
        <v>26000</v>
      </c>
      <c r="K12" s="66">
        <f t="shared" si="12"/>
        <v>0</v>
      </c>
      <c r="L12" s="67"/>
      <c r="M12" s="67"/>
      <c r="N12" s="67"/>
      <c r="O12" s="67">
        <f t="shared" si="10"/>
        <v>0</v>
      </c>
      <c r="P12" s="66">
        <f t="shared" si="13"/>
        <v>0</v>
      </c>
      <c r="Q12" s="67"/>
      <c r="R12" s="67">
        <f t="shared" si="7"/>
        <v>0</v>
      </c>
      <c r="U12" s="67">
        <v>0</v>
      </c>
      <c r="V12" s="67">
        <v>0</v>
      </c>
      <c r="W12" s="66"/>
    </row>
    <row r="13" spans="1:24" s="60" customFormat="1" ht="30" x14ac:dyDescent="0.25">
      <c r="A13" s="68" t="s">
        <v>63</v>
      </c>
      <c r="B13" s="69" t="s">
        <v>133</v>
      </c>
      <c r="C13" s="69" t="s">
        <v>87</v>
      </c>
      <c r="D13" s="66">
        <v>233536.01</v>
      </c>
      <c r="E13" s="66">
        <v>416000</v>
      </c>
      <c r="F13" s="66">
        <f t="shared" si="11"/>
        <v>649536.01</v>
      </c>
      <c r="G13" s="67">
        <f>207512.25-17512.25-20000</f>
        <v>170000</v>
      </c>
      <c r="H13" s="67"/>
      <c r="I13" s="67">
        <f>2224835.89</f>
        <v>2224835.89</v>
      </c>
      <c r="J13" s="67">
        <f t="shared" si="3"/>
        <v>2874371.9000000004</v>
      </c>
      <c r="K13" s="66">
        <f t="shared" si="12"/>
        <v>170000</v>
      </c>
      <c r="L13" s="67"/>
      <c r="M13" s="67"/>
      <c r="N13" s="67"/>
      <c r="O13" s="67">
        <f t="shared" si="10"/>
        <v>170000</v>
      </c>
      <c r="P13" s="66">
        <f t="shared" si="13"/>
        <v>0</v>
      </c>
      <c r="Q13" s="67"/>
      <c r="R13" s="67">
        <f t="shared" si="7"/>
        <v>0</v>
      </c>
      <c r="U13" s="67">
        <v>100000</v>
      </c>
      <c r="V13" s="67">
        <v>0</v>
      </c>
      <c r="W13" s="66"/>
    </row>
    <row r="14" spans="1:24" s="60" customFormat="1" ht="19.5" customHeight="1" x14ac:dyDescent="0.25">
      <c r="A14" s="68" t="s">
        <v>67</v>
      </c>
      <c r="B14" s="65" t="s">
        <v>16</v>
      </c>
      <c r="C14" s="65" t="s">
        <v>87</v>
      </c>
      <c r="D14" s="66">
        <v>1516482.06</v>
      </c>
      <c r="E14" s="66"/>
      <c r="F14" s="66">
        <f t="shared" si="11"/>
        <v>1516482.06</v>
      </c>
      <c r="G14" s="67">
        <f>1482487.75+17512.25</f>
        <v>1500000</v>
      </c>
      <c r="H14" s="67"/>
      <c r="I14" s="67"/>
      <c r="J14" s="67">
        <f t="shared" si="3"/>
        <v>1516482.06</v>
      </c>
      <c r="K14" s="66">
        <f t="shared" si="12"/>
        <v>1500000</v>
      </c>
      <c r="L14" s="67">
        <v>1500000</v>
      </c>
      <c r="M14" s="67">
        <v>4087000</v>
      </c>
      <c r="N14" s="67"/>
      <c r="O14" s="67">
        <f t="shared" si="10"/>
        <v>1500000</v>
      </c>
      <c r="P14" s="66">
        <f t="shared" si="13"/>
        <v>5587000</v>
      </c>
      <c r="Q14" s="67"/>
      <c r="R14" s="67">
        <f t="shared" si="7"/>
        <v>5587000</v>
      </c>
      <c r="U14" s="67">
        <v>1540000</v>
      </c>
      <c r="V14" s="67">
        <v>5587000</v>
      </c>
      <c r="W14" s="66"/>
    </row>
    <row r="15" spans="1:24" s="60" customFormat="1" ht="19.5" customHeight="1" x14ac:dyDescent="0.25">
      <c r="A15" s="68" t="s">
        <v>17</v>
      </c>
      <c r="B15" s="65" t="s">
        <v>18</v>
      </c>
      <c r="C15" s="65"/>
      <c r="D15" s="66"/>
      <c r="E15" s="66"/>
      <c r="F15" s="66">
        <f t="shared" si="11"/>
        <v>0</v>
      </c>
      <c r="G15" s="67"/>
      <c r="H15" s="67"/>
      <c r="I15" s="67"/>
      <c r="J15" s="67">
        <f t="shared" si="3"/>
        <v>0</v>
      </c>
      <c r="K15" s="66">
        <f t="shared" si="12"/>
        <v>0</v>
      </c>
      <c r="L15" s="67"/>
      <c r="M15" s="67"/>
      <c r="N15" s="67"/>
      <c r="O15" s="67">
        <f t="shared" si="10"/>
        <v>0</v>
      </c>
      <c r="P15" s="66">
        <f t="shared" si="13"/>
        <v>0</v>
      </c>
      <c r="Q15" s="67"/>
      <c r="R15" s="67">
        <f t="shared" si="7"/>
        <v>0</v>
      </c>
      <c r="U15" s="67">
        <v>0</v>
      </c>
      <c r="V15" s="67">
        <v>0</v>
      </c>
      <c r="W15" s="66"/>
    </row>
    <row r="16" spans="1:24" s="60" customFormat="1" ht="19.5" customHeight="1" x14ac:dyDescent="0.25">
      <c r="A16" s="68" t="s">
        <v>19</v>
      </c>
      <c r="B16" s="65" t="s">
        <v>18</v>
      </c>
      <c r="C16" s="65"/>
      <c r="D16" s="66"/>
      <c r="E16" s="66"/>
      <c r="F16" s="66">
        <f t="shared" si="11"/>
        <v>0</v>
      </c>
      <c r="G16" s="67"/>
      <c r="H16" s="67"/>
      <c r="I16" s="67"/>
      <c r="J16" s="67">
        <f t="shared" si="3"/>
        <v>0</v>
      </c>
      <c r="K16" s="66">
        <f t="shared" si="12"/>
        <v>0</v>
      </c>
      <c r="L16" s="67"/>
      <c r="M16" s="67"/>
      <c r="N16" s="67"/>
      <c r="O16" s="67">
        <f t="shared" si="10"/>
        <v>0</v>
      </c>
      <c r="P16" s="66">
        <f t="shared" si="13"/>
        <v>0</v>
      </c>
      <c r="Q16" s="67"/>
      <c r="R16" s="67">
        <f t="shared" si="7"/>
        <v>0</v>
      </c>
      <c r="U16" s="67">
        <v>0</v>
      </c>
      <c r="V16" s="67">
        <v>0</v>
      </c>
      <c r="W16" s="66"/>
    </row>
    <row r="17" spans="1:24" s="60" customFormat="1" ht="19.5" customHeight="1" x14ac:dyDescent="0.25">
      <c r="A17" s="68" t="s">
        <v>65</v>
      </c>
      <c r="B17" s="65" t="s">
        <v>18</v>
      </c>
      <c r="C17" s="65" t="s">
        <v>87</v>
      </c>
      <c r="D17" s="66">
        <v>20000</v>
      </c>
      <c r="E17" s="66"/>
      <c r="F17" s="66">
        <f t="shared" si="11"/>
        <v>20000</v>
      </c>
      <c r="G17" s="67">
        <v>20000</v>
      </c>
      <c r="H17" s="67"/>
      <c r="I17" s="67"/>
      <c r="J17" s="67">
        <f t="shared" si="3"/>
        <v>20000</v>
      </c>
      <c r="K17" s="66">
        <f t="shared" si="12"/>
        <v>20000</v>
      </c>
      <c r="L17" s="67"/>
      <c r="M17" s="67"/>
      <c r="N17" s="67"/>
      <c r="O17" s="67">
        <f t="shared" si="10"/>
        <v>20000</v>
      </c>
      <c r="P17" s="66">
        <f t="shared" si="13"/>
        <v>0</v>
      </c>
      <c r="Q17" s="67"/>
      <c r="R17" s="67">
        <f t="shared" si="7"/>
        <v>0</v>
      </c>
      <c r="U17" s="67">
        <v>20000</v>
      </c>
      <c r="V17" s="67">
        <v>0</v>
      </c>
      <c r="W17" s="66"/>
    </row>
    <row r="18" spans="1:24" s="60" customFormat="1" ht="19.5" customHeight="1" x14ac:dyDescent="0.25">
      <c r="A18" s="68" t="s">
        <v>20</v>
      </c>
      <c r="B18" s="70" t="s">
        <v>21</v>
      </c>
      <c r="C18" s="70"/>
      <c r="D18" s="66"/>
      <c r="E18" s="66"/>
      <c r="F18" s="66">
        <f t="shared" si="11"/>
        <v>0</v>
      </c>
      <c r="G18" s="66"/>
      <c r="H18" s="66"/>
      <c r="I18" s="66"/>
      <c r="J18" s="67">
        <f t="shared" si="3"/>
        <v>0</v>
      </c>
      <c r="K18" s="66">
        <f t="shared" si="12"/>
        <v>0</v>
      </c>
      <c r="L18" s="66"/>
      <c r="M18" s="66"/>
      <c r="N18" s="66"/>
      <c r="O18" s="67">
        <f t="shared" si="10"/>
        <v>0</v>
      </c>
      <c r="P18" s="66">
        <f t="shared" si="13"/>
        <v>0</v>
      </c>
      <c r="Q18" s="67"/>
      <c r="R18" s="67">
        <f t="shared" si="7"/>
        <v>0</v>
      </c>
      <c r="U18" s="67">
        <v>0</v>
      </c>
      <c r="V18" s="67">
        <v>0</v>
      </c>
      <c r="W18" s="66"/>
    </row>
    <row r="19" spans="1:24" s="60" customFormat="1" ht="19.5" customHeight="1" x14ac:dyDescent="0.25">
      <c r="A19" s="71" t="s">
        <v>22</v>
      </c>
      <c r="B19" s="72" t="s">
        <v>23</v>
      </c>
      <c r="C19" s="72" t="s">
        <v>86</v>
      </c>
      <c r="D19" s="66">
        <v>3967000</v>
      </c>
      <c r="E19" s="66">
        <v>4509221.78</v>
      </c>
      <c r="F19" s="66">
        <f t="shared" si="11"/>
        <v>8476221.7800000012</v>
      </c>
      <c r="G19" s="66">
        <f>5998430.1+2500000</f>
        <v>8498430.0999999996</v>
      </c>
      <c r="H19" s="66"/>
      <c r="I19" s="66">
        <f>-3000000-4509221.78+10118150</f>
        <v>2608928.2199999997</v>
      </c>
      <c r="J19" s="67">
        <f t="shared" si="3"/>
        <v>11085150</v>
      </c>
      <c r="K19" s="66">
        <f t="shared" si="12"/>
        <v>8498430.0999999996</v>
      </c>
      <c r="L19" s="66">
        <v>2993539.02</v>
      </c>
      <c r="M19" s="66"/>
      <c r="N19" s="66">
        <f>-1167002.09-2500000</f>
        <v>-3667002.09</v>
      </c>
      <c r="O19" s="67">
        <f t="shared" si="10"/>
        <v>4831428.01</v>
      </c>
      <c r="P19" s="66">
        <f t="shared" si="13"/>
        <v>2993539.02</v>
      </c>
      <c r="Q19" s="67">
        <v>-2176539.02</v>
      </c>
      <c r="R19" s="67">
        <f t="shared" si="7"/>
        <v>817000</v>
      </c>
      <c r="S19" s="57">
        <f>J19+O19+R19</f>
        <v>16733578.01</v>
      </c>
      <c r="U19" s="67">
        <v>4831428.01</v>
      </c>
      <c r="V19" s="67">
        <v>817000</v>
      </c>
      <c r="W19" s="66">
        <v>11085150</v>
      </c>
      <c r="X19" s="57">
        <f>SUM(U19:W19)</f>
        <v>16733578.01</v>
      </c>
    </row>
    <row r="20" spans="1:24" s="81" customFormat="1" ht="19.5" customHeight="1" x14ac:dyDescent="0.25">
      <c r="A20" s="77" t="s">
        <v>24</v>
      </c>
      <c r="B20" s="78" t="s">
        <v>83</v>
      </c>
      <c r="C20" s="78" t="s">
        <v>87</v>
      </c>
      <c r="D20" s="79">
        <v>1558727.36</v>
      </c>
      <c r="E20" s="79"/>
      <c r="F20" s="66">
        <f t="shared" si="11"/>
        <v>1558727.36</v>
      </c>
      <c r="G20" s="66"/>
      <c r="H20" s="66"/>
      <c r="I20" s="66"/>
      <c r="J20" s="67">
        <f t="shared" si="3"/>
        <v>1558727.36</v>
      </c>
      <c r="K20" s="79">
        <f t="shared" si="12"/>
        <v>0</v>
      </c>
      <c r="L20" s="79"/>
      <c r="M20" s="79"/>
      <c r="N20" s="79"/>
      <c r="O20" s="80">
        <f t="shared" si="10"/>
        <v>0</v>
      </c>
      <c r="P20" s="79">
        <f t="shared" si="13"/>
        <v>0</v>
      </c>
      <c r="Q20" s="80"/>
      <c r="R20" s="80">
        <f t="shared" si="7"/>
        <v>0</v>
      </c>
      <c r="U20" s="80">
        <v>0</v>
      </c>
      <c r="V20" s="80">
        <v>0</v>
      </c>
      <c r="W20" s="66"/>
      <c r="X20" s="57"/>
    </row>
    <row r="21" spans="1:24" s="60" customFormat="1" ht="19.5" customHeight="1" x14ac:dyDescent="0.25">
      <c r="A21" s="71" t="s">
        <v>131</v>
      </c>
      <c r="B21" s="72" t="s">
        <v>132</v>
      </c>
      <c r="C21" s="72"/>
      <c r="D21" s="66"/>
      <c r="E21" s="66"/>
      <c r="F21" s="66"/>
      <c r="G21" s="66"/>
      <c r="H21" s="66"/>
      <c r="I21" s="66">
        <f>3000000+2284385.89+21603573</f>
        <v>26887958.890000001</v>
      </c>
      <c r="J21" s="67">
        <f>SUM(F21:I21)</f>
        <v>26887958.890000001</v>
      </c>
      <c r="K21" s="66"/>
      <c r="L21" s="66"/>
      <c r="M21" s="66"/>
      <c r="N21" s="66">
        <f>1167002.09+2500000</f>
        <v>3667002.09</v>
      </c>
      <c r="O21" s="67">
        <f>SUM(K21:N21)</f>
        <v>3667002.09</v>
      </c>
      <c r="P21" s="66"/>
      <c r="Q21" s="67">
        <v>2176539.02</v>
      </c>
      <c r="R21" s="67">
        <f>SUM(P21:Q21)</f>
        <v>2176539.02</v>
      </c>
      <c r="S21" s="57">
        <f>SUM(J21+O21+R21)</f>
        <v>32731500</v>
      </c>
      <c r="U21" s="67">
        <v>3667002.09</v>
      </c>
      <c r="V21" s="67">
        <v>2176539.02</v>
      </c>
      <c r="W21" s="66">
        <v>26887958.890000001</v>
      </c>
      <c r="X21" s="57">
        <f t="shared" ref="X21" si="14">SUM(U21:W21)</f>
        <v>32731500</v>
      </c>
    </row>
    <row r="22" spans="1:24" s="60" customFormat="1" ht="19.5" customHeight="1" x14ac:dyDescent="0.25">
      <c r="A22" s="73" t="s">
        <v>25</v>
      </c>
      <c r="B22" s="70" t="s">
        <v>26</v>
      </c>
      <c r="C22" s="70"/>
      <c r="D22" s="66"/>
      <c r="E22" s="66"/>
      <c r="F22" s="66">
        <f t="shared" si="11"/>
        <v>0</v>
      </c>
      <c r="G22" s="66"/>
      <c r="H22" s="66"/>
      <c r="I22" s="66"/>
      <c r="J22" s="67">
        <f t="shared" si="3"/>
        <v>0</v>
      </c>
      <c r="K22" s="66">
        <f t="shared" si="12"/>
        <v>0</v>
      </c>
      <c r="L22" s="66"/>
      <c r="M22" s="66"/>
      <c r="N22" s="66"/>
      <c r="O22" s="67">
        <f t="shared" si="10"/>
        <v>0</v>
      </c>
      <c r="P22" s="66">
        <f t="shared" si="13"/>
        <v>0</v>
      </c>
      <c r="Q22" s="67"/>
      <c r="R22" s="67">
        <f t="shared" si="7"/>
        <v>0</v>
      </c>
      <c r="U22" s="67">
        <v>0</v>
      </c>
      <c r="V22" s="67">
        <v>0</v>
      </c>
      <c r="W22" s="66"/>
    </row>
    <row r="23" spans="1:24" ht="19.5" thickBot="1" x14ac:dyDescent="0.3">
      <c r="A23" s="13"/>
      <c r="B23" s="14" t="s">
        <v>27</v>
      </c>
      <c r="C23" s="31"/>
      <c r="D23" s="7">
        <f>SUM(D2+D6)</f>
        <v>12838029.759999998</v>
      </c>
      <c r="E23" s="7">
        <f t="shared" ref="E23:P23" si="15">SUM(E2+E6)</f>
        <v>4925221.78</v>
      </c>
      <c r="F23" s="7">
        <f t="shared" si="15"/>
        <v>17763251.539999999</v>
      </c>
      <c r="G23" s="7">
        <f t="shared" si="15"/>
        <v>10238430.1</v>
      </c>
      <c r="H23" s="7">
        <f t="shared" si="15"/>
        <v>0</v>
      </c>
      <c r="I23" s="7">
        <f>SUM(I2+I6)</f>
        <v>31721723</v>
      </c>
      <c r="J23" s="7">
        <f t="shared" si="3"/>
        <v>49484974.539999999</v>
      </c>
      <c r="K23" s="7">
        <f t="shared" si="15"/>
        <v>10238430.1</v>
      </c>
      <c r="L23" s="7">
        <f t="shared" si="15"/>
        <v>4493539.0199999996</v>
      </c>
      <c r="M23" s="7">
        <f t="shared" si="15"/>
        <v>4087000</v>
      </c>
      <c r="N23" s="7">
        <f>SUM(N2+N6)</f>
        <v>0</v>
      </c>
      <c r="O23" s="7">
        <f t="shared" si="10"/>
        <v>10238430.1</v>
      </c>
      <c r="P23" s="7">
        <f t="shared" si="15"/>
        <v>8580539.0199999996</v>
      </c>
      <c r="Q23" s="7">
        <f t="shared" ref="Q23" si="16">SUM(Q24:Q26)</f>
        <v>0</v>
      </c>
      <c r="R23" s="7">
        <f t="shared" si="7"/>
        <v>8580539.0199999996</v>
      </c>
      <c r="U23" s="7">
        <f>U2+U6</f>
        <v>11558430.1</v>
      </c>
      <c r="V23" s="7">
        <f t="shared" ref="V23:W23" si="17">V2+V6</f>
        <v>8580539.0199999996</v>
      </c>
      <c r="W23" s="7">
        <f t="shared" si="17"/>
        <v>37973108.890000001</v>
      </c>
    </row>
    <row r="24" spans="1:24" ht="15.75" thickTop="1" x14ac:dyDescent="0.25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U24" s="3"/>
      <c r="V24" s="3"/>
      <c r="W24" s="90"/>
    </row>
    <row r="25" spans="1:24" ht="18.75" x14ac:dyDescent="0.25">
      <c r="A25" s="1"/>
      <c r="B25" s="15" t="s">
        <v>28</v>
      </c>
      <c r="C25" s="15"/>
      <c r="D25" s="3" t="s">
        <v>81</v>
      </c>
      <c r="E25" s="3" t="s">
        <v>82</v>
      </c>
      <c r="F25" s="76" t="s">
        <v>81</v>
      </c>
      <c r="G25" s="76" t="s">
        <v>1</v>
      </c>
      <c r="H25" s="76" t="s">
        <v>82</v>
      </c>
      <c r="I25" s="76"/>
      <c r="J25" s="76" t="s">
        <v>81</v>
      </c>
      <c r="K25" s="76" t="s">
        <v>88</v>
      </c>
      <c r="L25" s="76" t="s">
        <v>68</v>
      </c>
      <c r="M25" s="76" t="s">
        <v>82</v>
      </c>
      <c r="N25" s="76"/>
      <c r="O25" s="76" t="s">
        <v>88</v>
      </c>
      <c r="P25" s="76" t="s">
        <v>89</v>
      </c>
      <c r="Q25" s="76"/>
      <c r="R25" s="76" t="s">
        <v>89</v>
      </c>
      <c r="U25" s="76" t="s">
        <v>88</v>
      </c>
      <c r="V25" s="76" t="s">
        <v>89</v>
      </c>
      <c r="W25" s="90"/>
    </row>
    <row r="26" spans="1:24" s="60" customFormat="1" ht="19.5" customHeight="1" x14ac:dyDescent="0.25">
      <c r="A26" s="64" t="s">
        <v>31</v>
      </c>
      <c r="B26" s="65" t="s">
        <v>32</v>
      </c>
      <c r="C26" s="65"/>
      <c r="D26" s="74">
        <f>1800000+336868.09+D8+700000</f>
        <v>3757954.27</v>
      </c>
      <c r="E26" s="74"/>
      <c r="F26" s="74">
        <f>1800000+336868.09+F8+700000</f>
        <v>3757954.27</v>
      </c>
      <c r="G26" s="74">
        <f>238000</f>
        <v>238000</v>
      </c>
      <c r="H26" s="74"/>
      <c r="I26" s="74"/>
      <c r="J26" s="74">
        <f>1800000+336868.09+J8+700000</f>
        <v>3757954.27</v>
      </c>
      <c r="K26" s="74">
        <f>238000</f>
        <v>238000</v>
      </c>
      <c r="L26" s="74">
        <f>550000</f>
        <v>550000</v>
      </c>
      <c r="M26" s="74"/>
      <c r="N26" s="74"/>
      <c r="O26" s="74">
        <f>238000</f>
        <v>238000</v>
      </c>
      <c r="P26" s="74">
        <v>550000</v>
      </c>
      <c r="Q26" s="74"/>
      <c r="R26" s="74">
        <v>550000</v>
      </c>
      <c r="U26" s="74">
        <v>238000</v>
      </c>
      <c r="V26" s="74">
        <v>550000</v>
      </c>
      <c r="W26" s="66"/>
    </row>
    <row r="27" spans="1:24" s="60" customFormat="1" ht="19.5" customHeight="1" x14ac:dyDescent="0.25">
      <c r="A27" s="73" t="s">
        <v>33</v>
      </c>
      <c r="B27" s="65" t="s">
        <v>75</v>
      </c>
      <c r="C27" s="65"/>
      <c r="D27" s="74">
        <v>1500000</v>
      </c>
      <c r="E27" s="74"/>
      <c r="F27" s="74">
        <v>1500000</v>
      </c>
      <c r="G27" s="74">
        <v>3000000</v>
      </c>
      <c r="H27" s="74"/>
      <c r="I27" s="74"/>
      <c r="J27" s="74">
        <v>1500000</v>
      </c>
      <c r="K27" s="74">
        <v>3000000</v>
      </c>
      <c r="L27" s="74"/>
      <c r="M27" s="74"/>
      <c r="N27" s="74"/>
      <c r="O27" s="74">
        <v>3000000</v>
      </c>
      <c r="P27" s="74"/>
      <c r="Q27" s="74"/>
      <c r="R27" s="74"/>
      <c r="U27" s="74">
        <v>3000000</v>
      </c>
      <c r="V27" s="74"/>
      <c r="W27" s="66"/>
    </row>
    <row r="28" spans="1:24" s="60" customFormat="1" ht="19.5" customHeight="1" x14ac:dyDescent="0.25">
      <c r="A28" s="73" t="s">
        <v>34</v>
      </c>
      <c r="B28" s="65" t="s">
        <v>76</v>
      </c>
      <c r="C28" s="65"/>
      <c r="D28" s="67">
        <f>D9+D10+D4+9487.75</f>
        <v>640244.67000000004</v>
      </c>
      <c r="E28" s="67"/>
      <c r="F28" s="67">
        <f>F9+F10+F4+9487.75</f>
        <v>640244.67000000004</v>
      </c>
      <c r="G28" s="67">
        <f>378000+200000+5891.07</f>
        <v>583891.06999999995</v>
      </c>
      <c r="H28" s="67"/>
      <c r="I28" s="67"/>
      <c r="J28" s="67">
        <f>J9+J10+J4+9487.75</f>
        <v>640244.67000000004</v>
      </c>
      <c r="K28" s="74">
        <f>378000+200000+5891.07</f>
        <v>583891.06999999995</v>
      </c>
      <c r="L28" s="67"/>
      <c r="M28" s="67"/>
      <c r="N28" s="67"/>
      <c r="O28" s="74">
        <f>378000+200000+5891.07</f>
        <v>583891.06999999995</v>
      </c>
      <c r="P28" s="74"/>
      <c r="Q28" s="67"/>
      <c r="R28" s="74"/>
      <c r="U28" s="74">
        <v>583891.06999999995</v>
      </c>
      <c r="V28" s="74"/>
      <c r="W28" s="66"/>
    </row>
    <row r="29" spans="1:24" s="60" customFormat="1" ht="19.5" customHeight="1" x14ac:dyDescent="0.25">
      <c r="A29" s="73" t="s">
        <v>35</v>
      </c>
      <c r="B29" s="65" t="s">
        <v>77</v>
      </c>
      <c r="C29" s="65"/>
      <c r="D29" s="67">
        <f>244928.38+107573.14</f>
        <v>352501.52</v>
      </c>
      <c r="E29" s="67"/>
      <c r="F29" s="67">
        <f>244928.38+107573.14</f>
        <v>352501.52</v>
      </c>
      <c r="G29" s="66">
        <v>2176539.0299999998</v>
      </c>
      <c r="H29" s="66"/>
      <c r="I29" s="66"/>
      <c r="J29" s="67">
        <f>244928.38+107573.14</f>
        <v>352501.52</v>
      </c>
      <c r="K29" s="74">
        <v>2176539.0299999998</v>
      </c>
      <c r="L29" s="66"/>
      <c r="M29" s="66"/>
      <c r="N29" s="66">
        <f>-1167002.09+1167002.09</f>
        <v>0</v>
      </c>
      <c r="O29" s="74">
        <v>2176539.0299999998</v>
      </c>
      <c r="P29" s="74"/>
      <c r="Q29" s="66"/>
      <c r="R29" s="74"/>
      <c r="U29" s="74">
        <v>2176539.0299999998</v>
      </c>
      <c r="V29" s="74"/>
      <c r="W29" s="66"/>
    </row>
    <row r="30" spans="1:24" s="60" customFormat="1" ht="19.5" customHeight="1" x14ac:dyDescent="0.25">
      <c r="A30" s="73" t="s">
        <v>36</v>
      </c>
      <c r="B30" s="65" t="s">
        <v>126</v>
      </c>
      <c r="C30" s="65"/>
      <c r="D30" s="67">
        <f>990338-42469.68</f>
        <v>947868.32</v>
      </c>
      <c r="E30" s="67"/>
      <c r="F30" s="67">
        <f>990338-42469.68</f>
        <v>947868.32</v>
      </c>
      <c r="G30" s="66"/>
      <c r="H30" s="66"/>
      <c r="I30" s="66"/>
      <c r="J30" s="67">
        <f>990338-42469.68</f>
        <v>947868.32</v>
      </c>
      <c r="K30" s="74">
        <f t="shared" ref="K30:K33" si="18">G30+H30</f>
        <v>0</v>
      </c>
      <c r="L30" s="66"/>
      <c r="M30" s="66"/>
      <c r="N30" s="66"/>
      <c r="O30" s="74">
        <f t="shared" ref="O30" si="19">K30+L30</f>
        <v>0</v>
      </c>
      <c r="P30" s="74"/>
      <c r="Q30" s="66">
        <f>Q19+Q21</f>
        <v>0</v>
      </c>
      <c r="R30" s="74"/>
      <c r="U30" s="74">
        <v>0</v>
      </c>
      <c r="V30" s="74"/>
      <c r="W30" s="66"/>
    </row>
    <row r="31" spans="1:24" s="60" customFormat="1" ht="19.5" customHeight="1" x14ac:dyDescent="0.25">
      <c r="A31" s="73" t="s">
        <v>127</v>
      </c>
      <c r="B31" s="65" t="s">
        <v>129</v>
      </c>
      <c r="C31" s="65"/>
      <c r="D31" s="67"/>
      <c r="E31" s="67"/>
      <c r="F31" s="67"/>
      <c r="G31" s="66"/>
      <c r="H31" s="66"/>
      <c r="I31" s="66">
        <v>10118150</v>
      </c>
      <c r="J31" s="67">
        <f>SUM(F31:I31)</f>
        <v>10118150</v>
      </c>
      <c r="K31" s="74"/>
      <c r="L31" s="66"/>
      <c r="M31" s="66"/>
      <c r="N31" s="66"/>
      <c r="O31" s="74"/>
      <c r="P31" s="74"/>
      <c r="Q31" s="66"/>
      <c r="R31" s="74"/>
      <c r="U31" s="74"/>
      <c r="V31" s="74"/>
      <c r="W31" s="66"/>
    </row>
    <row r="32" spans="1:24" s="60" customFormat="1" ht="19.5" customHeight="1" x14ac:dyDescent="0.25">
      <c r="A32" s="73" t="s">
        <v>128</v>
      </c>
      <c r="B32" s="65" t="s">
        <v>130</v>
      </c>
      <c r="C32" s="65"/>
      <c r="D32" s="67"/>
      <c r="E32" s="67"/>
      <c r="F32" s="67"/>
      <c r="G32" s="66"/>
      <c r="H32" s="66"/>
      <c r="I32" s="66">
        <v>21603573</v>
      </c>
      <c r="J32" s="67">
        <f>SUM(F32:I32)</f>
        <v>21603573</v>
      </c>
      <c r="K32" s="74"/>
      <c r="L32" s="66"/>
      <c r="M32" s="66"/>
      <c r="N32" s="66"/>
      <c r="O32" s="74"/>
      <c r="P32" s="74"/>
      <c r="Q32" s="66"/>
      <c r="R32" s="74"/>
      <c r="U32" s="74"/>
      <c r="V32" s="74"/>
      <c r="W32" s="66"/>
    </row>
    <row r="33" spans="1:23" s="60" customFormat="1" ht="19.5" customHeight="1" x14ac:dyDescent="0.25">
      <c r="A33" s="73" t="s">
        <v>37</v>
      </c>
      <c r="B33" s="65" t="s">
        <v>78</v>
      </c>
      <c r="C33" s="65"/>
      <c r="D33" s="67">
        <f>323460.98+200000+D12</f>
        <v>549460.98</v>
      </c>
      <c r="E33" s="67"/>
      <c r="F33" s="67">
        <f>323460.98+200000+F12</f>
        <v>549460.98</v>
      </c>
      <c r="G33" s="66"/>
      <c r="H33" s="66"/>
      <c r="I33" s="66"/>
      <c r="J33" s="67">
        <f>323460.98+200000+J12</f>
        <v>549460.98</v>
      </c>
      <c r="K33" s="74">
        <f t="shared" si="18"/>
        <v>0</v>
      </c>
      <c r="L33" s="66">
        <v>2176539.02</v>
      </c>
      <c r="M33" s="66"/>
      <c r="N33" s="66"/>
      <c r="O33" s="74">
        <v>0</v>
      </c>
      <c r="P33" s="74">
        <v>2176539.02</v>
      </c>
      <c r="Q33" s="66"/>
      <c r="R33" s="74">
        <v>2176539.02</v>
      </c>
      <c r="U33" s="74">
        <v>0</v>
      </c>
      <c r="V33" s="74">
        <v>2176539.02</v>
      </c>
      <c r="W33" s="66"/>
    </row>
    <row r="34" spans="1:23" s="60" customFormat="1" ht="19.5" customHeight="1" x14ac:dyDescent="0.25">
      <c r="A34" s="73" t="s">
        <v>66</v>
      </c>
      <c r="B34" s="65" t="s">
        <v>79</v>
      </c>
      <c r="C34" s="65"/>
      <c r="D34" s="67">
        <f>267000+3000000+D3+D13+D17+1473000+17512.25+16482.06+42469.68</f>
        <v>5089999.9999999991</v>
      </c>
      <c r="E34" s="67">
        <f>E19+E13</f>
        <v>4925221.78</v>
      </c>
      <c r="F34" s="67">
        <f>F3+F13+F14-9487.75+F17+F19-700000+42469.68</f>
        <v>10015221.780000001</v>
      </c>
      <c r="G34" s="66">
        <f>SUM(G3+G5+G13+G14+G17)+2500000</f>
        <v>4240000</v>
      </c>
      <c r="H34" s="66"/>
      <c r="I34" s="66"/>
      <c r="J34" s="67">
        <f>J3+J13+J14-9487.75+J17+267000+J21-21603573+42469.68</f>
        <v>10015221.780000001</v>
      </c>
      <c r="K34" s="74">
        <f>K3+K5+K13+K14+K17+2500000</f>
        <v>4240000</v>
      </c>
      <c r="L34" s="66"/>
      <c r="M34" s="66">
        <f>1767000+M14</f>
        <v>5854000</v>
      </c>
      <c r="N34" s="66">
        <f>2500000-2500000</f>
        <v>0</v>
      </c>
      <c r="O34" s="74">
        <f>O3+O5+O13+O14+O17+2500000</f>
        <v>4240000</v>
      </c>
      <c r="P34" s="74">
        <f>P14+267000</f>
        <v>5854000</v>
      </c>
      <c r="Q34" s="66"/>
      <c r="R34" s="74">
        <f>R14+267000</f>
        <v>5854000</v>
      </c>
      <c r="U34" s="74">
        <v>4240000</v>
      </c>
      <c r="V34" s="74">
        <v>5854000</v>
      </c>
      <c r="W34" s="66"/>
    </row>
    <row r="35" spans="1:23" s="60" customFormat="1" ht="19.5" customHeight="1" x14ac:dyDescent="0.25">
      <c r="A35" s="73" t="s">
        <v>38</v>
      </c>
      <c r="B35" s="70" t="s">
        <v>39</v>
      </c>
      <c r="C35" s="70"/>
      <c r="D35" s="66"/>
      <c r="E35" s="66"/>
      <c r="F35" s="66"/>
      <c r="G35" s="67"/>
      <c r="H35" s="67"/>
      <c r="I35" s="67"/>
      <c r="J35" s="66"/>
      <c r="K35" s="67"/>
      <c r="L35" s="67">
        <f>267000+L14</f>
        <v>1767000</v>
      </c>
      <c r="M35" s="67">
        <v>-1767000</v>
      </c>
      <c r="N35" s="67"/>
      <c r="O35" s="67"/>
      <c r="P35" s="74">
        <f t="shared" ref="P35" si="20">SUM(L35:M35)</f>
        <v>0</v>
      </c>
      <c r="Q35" s="67"/>
      <c r="R35" s="67"/>
      <c r="U35" s="67"/>
      <c r="V35" s="67"/>
      <c r="W35" s="66"/>
    </row>
    <row r="36" spans="1:23" ht="19.5" thickBot="1" x14ac:dyDescent="0.3">
      <c r="A36" s="13"/>
      <c r="B36" s="14" t="s">
        <v>40</v>
      </c>
      <c r="C36" s="31"/>
      <c r="D36" s="7">
        <f>SUM(D26:D35)</f>
        <v>12838029.759999998</v>
      </c>
      <c r="E36" s="7">
        <f>SUM(E26:E35)</f>
        <v>4925221.78</v>
      </c>
      <c r="F36" s="7">
        <f>SUM(F26:F34)</f>
        <v>17763251.539999999</v>
      </c>
      <c r="G36" s="7">
        <f t="shared" ref="G36:J36" si="21">SUM(G26:G34)</f>
        <v>10238430.1</v>
      </c>
      <c r="H36" s="7">
        <f t="shared" si="21"/>
        <v>0</v>
      </c>
      <c r="I36" s="7">
        <f t="shared" si="21"/>
        <v>31721723</v>
      </c>
      <c r="J36" s="7">
        <f t="shared" si="21"/>
        <v>49484974.539999999</v>
      </c>
      <c r="K36" s="7">
        <f>SUM(K26:K35)</f>
        <v>10238430.1</v>
      </c>
      <c r="L36" s="7">
        <f t="shared" ref="L36:N36" si="22">SUM(L26:L35)</f>
        <v>4493539.0199999996</v>
      </c>
      <c r="M36" s="7">
        <f t="shared" si="22"/>
        <v>4087000</v>
      </c>
      <c r="N36" s="7">
        <f t="shared" si="22"/>
        <v>0</v>
      </c>
      <c r="O36" s="7">
        <f>SUM(O26:O35)</f>
        <v>10238430.1</v>
      </c>
      <c r="P36" s="7">
        <f>SUM(P26:P35)</f>
        <v>8580539.0199999996</v>
      </c>
      <c r="Q36" s="7">
        <f t="shared" ref="Q36:R36" si="23">SUM(Q26:Q35)</f>
        <v>0</v>
      </c>
      <c r="R36" s="7">
        <f t="shared" si="23"/>
        <v>8580539.0199999996</v>
      </c>
      <c r="U36" s="7">
        <f>SUM(U26:U35)</f>
        <v>10238430.1</v>
      </c>
      <c r="V36" s="7">
        <f>SUM(V26:V35)</f>
        <v>8580539.0199999996</v>
      </c>
      <c r="W36" s="7">
        <f>SUM(W26:W35)</f>
        <v>0</v>
      </c>
    </row>
    <row r="37" spans="1:23" ht="15.75" thickTop="1" x14ac:dyDescent="0.25">
      <c r="D37" s="4"/>
      <c r="E37" s="4"/>
      <c r="F37" s="4"/>
    </row>
    <row r="38" spans="1:23" x14ac:dyDescent="0.25">
      <c r="A38" s="32" t="s">
        <v>41</v>
      </c>
      <c r="B38" s="4"/>
      <c r="C38" s="4"/>
    </row>
    <row r="39" spans="1:23" x14ac:dyDescent="0.25">
      <c r="A39" s="19" t="s">
        <v>42</v>
      </c>
      <c r="B39" s="4">
        <v>323460.96999999997</v>
      </c>
      <c r="C39" s="4"/>
      <c r="D39" s="20">
        <v>2023</v>
      </c>
      <c r="E39" s="100" t="s">
        <v>43</v>
      </c>
      <c r="F39" s="20"/>
      <c r="G39" s="100"/>
      <c r="H39" s="30"/>
      <c r="I39" s="54"/>
      <c r="J39" s="54"/>
      <c r="K39" s="30"/>
      <c r="M39" s="30"/>
      <c r="N39" s="54"/>
      <c r="O39" s="54"/>
      <c r="P39" s="30"/>
      <c r="Q39" s="54"/>
      <c r="R39" s="54"/>
      <c r="U39" s="87"/>
      <c r="V39" s="87"/>
    </row>
    <row r="40" spans="1:23" x14ac:dyDescent="0.25">
      <c r="A40" s="19" t="s">
        <v>42</v>
      </c>
      <c r="B40" s="4">
        <v>323460.98</v>
      </c>
      <c r="C40" s="4"/>
      <c r="D40" s="20">
        <v>2024</v>
      </c>
      <c r="E40" s="100"/>
      <c r="F40" s="20"/>
      <c r="G40" s="100"/>
      <c r="H40" s="30"/>
      <c r="I40" s="54"/>
      <c r="J40" s="54"/>
      <c r="K40" s="30"/>
      <c r="M40" s="30"/>
      <c r="N40" s="54"/>
      <c r="O40" s="54"/>
      <c r="P40" s="30"/>
      <c r="Q40" s="54"/>
      <c r="R40" s="54"/>
      <c r="U40" s="87"/>
      <c r="V40" s="87"/>
    </row>
    <row r="41" spans="1:23" x14ac:dyDescent="0.25">
      <c r="A41" s="19" t="s">
        <v>44</v>
      </c>
      <c r="B41" s="4">
        <f>990338-42469.68</f>
        <v>947868.32</v>
      </c>
      <c r="C41" s="4"/>
      <c r="D41" s="4" t="s">
        <v>45</v>
      </c>
      <c r="E41" s="4"/>
      <c r="F41" s="4"/>
      <c r="G41" s="4"/>
      <c r="H41" s="4"/>
      <c r="I41" s="4"/>
      <c r="J41" s="4"/>
      <c r="K41" s="4"/>
      <c r="M41" s="4"/>
      <c r="N41" s="4"/>
      <c r="O41" s="4"/>
      <c r="P41" s="4"/>
      <c r="Q41" s="4"/>
      <c r="R41" s="4"/>
      <c r="U41" s="4"/>
      <c r="V41" s="4"/>
    </row>
    <row r="42" spans="1:23" x14ac:dyDescent="0.25">
      <c r="A42" s="21" t="s">
        <v>46</v>
      </c>
      <c r="B42" s="17">
        <f>0.17+42469.68</f>
        <v>42469.85</v>
      </c>
      <c r="C42" s="27"/>
      <c r="D42" s="20">
        <v>2023</v>
      </c>
      <c r="E42" s="20"/>
      <c r="F42" s="20"/>
      <c r="G42" s="4"/>
      <c r="H42" s="4"/>
      <c r="I42" s="4"/>
      <c r="J42" s="4"/>
      <c r="K42" s="4"/>
      <c r="M42" s="4"/>
      <c r="N42" s="4"/>
      <c r="O42" s="4"/>
      <c r="P42" s="4"/>
      <c r="Q42" s="4"/>
      <c r="R42" s="4"/>
      <c r="U42" s="4"/>
      <c r="V42" s="4"/>
    </row>
    <row r="43" spans="1:23" x14ac:dyDescent="0.25">
      <c r="A43" s="16"/>
      <c r="B43" s="4">
        <f>SUM(B39:B42)</f>
        <v>1637260.12</v>
      </c>
      <c r="C43" s="4"/>
      <c r="D43" s="18" t="s">
        <v>47</v>
      </c>
      <c r="E43" s="18"/>
      <c r="F43" s="18"/>
      <c r="G43" s="4"/>
      <c r="H43" s="4"/>
      <c r="I43" s="4"/>
      <c r="J43" s="4"/>
      <c r="K43" s="4"/>
      <c r="M43" s="4"/>
      <c r="N43" s="4"/>
      <c r="O43" s="4"/>
      <c r="P43" s="4"/>
      <c r="Q43" s="4"/>
      <c r="R43" s="4"/>
      <c r="U43" s="4"/>
      <c r="V43" s="4"/>
    </row>
    <row r="44" spans="1:23" x14ac:dyDescent="0.25">
      <c r="A44" s="16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  <c r="O44" s="4"/>
      <c r="P44" s="4"/>
      <c r="Q44" s="4"/>
      <c r="R44" s="4"/>
      <c r="U44" s="4"/>
      <c r="V44" s="4"/>
    </row>
    <row r="45" spans="1:23" x14ac:dyDescent="0.25">
      <c r="A45" s="29" t="s">
        <v>48</v>
      </c>
      <c r="B45" s="4"/>
      <c r="C45" s="4"/>
      <c r="D45" s="4"/>
      <c r="E45" s="4"/>
      <c r="F45" s="55" t="s">
        <v>48</v>
      </c>
      <c r="G45" s="4"/>
      <c r="H45" s="4"/>
      <c r="I45" s="4" t="s">
        <v>136</v>
      </c>
      <c r="J45" s="4"/>
      <c r="K45" s="55" t="s">
        <v>138</v>
      </c>
      <c r="M45" s="4"/>
      <c r="N45" s="4"/>
      <c r="O45" s="55" t="s">
        <v>140</v>
      </c>
      <c r="P45" s="4"/>
      <c r="Q45" s="4"/>
      <c r="R45" s="4"/>
      <c r="U45" s="55"/>
      <c r="V45" s="4"/>
    </row>
    <row r="46" spans="1:23" x14ac:dyDescent="0.25">
      <c r="A46" s="22" t="s">
        <v>42</v>
      </c>
      <c r="B46" s="4">
        <v>2176539.02</v>
      </c>
      <c r="C46" s="4"/>
      <c r="D46" s="20" t="s">
        <v>30</v>
      </c>
      <c r="E46" s="20"/>
      <c r="F46" s="4"/>
      <c r="G46" s="4" t="s">
        <v>91</v>
      </c>
      <c r="H46" s="4">
        <f>B46+B47+B48+B58+B59</f>
        <v>14362299.830000002</v>
      </c>
      <c r="I46" s="4"/>
      <c r="J46" s="96" t="s">
        <v>154</v>
      </c>
      <c r="K46" s="95">
        <f>B46</f>
        <v>2176539.02</v>
      </c>
      <c r="L46" s="4"/>
      <c r="M46" s="4"/>
      <c r="N46" s="4"/>
      <c r="O46" s="99" t="s">
        <v>141</v>
      </c>
      <c r="P46" s="99"/>
      <c r="Q46" s="99"/>
      <c r="R46" s="99"/>
      <c r="U46" s="88"/>
      <c r="V46"/>
    </row>
    <row r="47" spans="1:23" x14ac:dyDescent="0.25">
      <c r="A47" s="22" t="s">
        <v>42</v>
      </c>
      <c r="B47" s="4">
        <v>2176539.0299999998</v>
      </c>
      <c r="C47" s="93" t="s">
        <v>151</v>
      </c>
      <c r="D47" s="94" t="s">
        <v>29</v>
      </c>
      <c r="E47" s="94"/>
      <c r="F47" s="95">
        <f>B47-1167002.09</f>
        <v>1009536.9399999997</v>
      </c>
      <c r="G47" s="4" t="s">
        <v>92</v>
      </c>
      <c r="H47" s="4">
        <f>SUM(B49:B57)</f>
        <v>5605891.0700000003</v>
      </c>
      <c r="I47" s="4"/>
      <c r="J47" s="96" t="s">
        <v>151</v>
      </c>
      <c r="K47" s="95">
        <f>B47-F47</f>
        <v>1167002.0900000001</v>
      </c>
      <c r="L47" s="4"/>
      <c r="M47" s="4"/>
      <c r="N47" s="4"/>
      <c r="O47" s="99"/>
      <c r="P47" s="99"/>
      <c r="Q47" s="99"/>
      <c r="R47" s="99"/>
      <c r="U47" s="88"/>
      <c r="V47"/>
    </row>
    <row r="48" spans="1:23" x14ac:dyDescent="0.25">
      <c r="A48" s="22" t="s">
        <v>42</v>
      </c>
      <c r="B48" s="4">
        <v>3000000</v>
      </c>
      <c r="C48" s="82"/>
      <c r="D48" s="20" t="s">
        <v>49</v>
      </c>
      <c r="E48" s="20"/>
      <c r="F48" s="4"/>
      <c r="G48" s="4"/>
      <c r="H48" s="4">
        <f>SUM(H46:H47)</f>
        <v>19968190.900000002</v>
      </c>
      <c r="I48" s="4"/>
      <c r="J48" s="96" t="s">
        <v>152</v>
      </c>
      <c r="K48" s="95">
        <f>B48</f>
        <v>3000000</v>
      </c>
      <c r="L48" s="4"/>
      <c r="M48" s="4"/>
      <c r="N48" s="4"/>
      <c r="O48" s="99"/>
      <c r="P48" s="99"/>
      <c r="Q48" s="99"/>
      <c r="R48" s="99"/>
      <c r="U48" s="88"/>
      <c r="V48"/>
    </row>
    <row r="49" spans="1:22" x14ac:dyDescent="0.25">
      <c r="A49" s="22" t="s">
        <v>50</v>
      </c>
      <c r="B49" s="4">
        <v>267000</v>
      </c>
      <c r="C49" s="82" t="s">
        <v>50</v>
      </c>
      <c r="D49" s="20" t="s">
        <v>51</v>
      </c>
      <c r="E49" s="20"/>
      <c r="F49" s="4">
        <f>B49</f>
        <v>267000</v>
      </c>
      <c r="G49" s="4"/>
      <c r="H49" s="4"/>
      <c r="I49" s="4"/>
      <c r="J49" s="96"/>
      <c r="K49" s="95"/>
      <c r="L49" s="4"/>
      <c r="M49" s="4"/>
      <c r="N49" s="4"/>
      <c r="O49" s="99"/>
      <c r="P49" s="99"/>
      <c r="Q49" s="99"/>
      <c r="R49" s="99"/>
      <c r="U49" s="88"/>
      <c r="V49"/>
    </row>
    <row r="50" spans="1:22" x14ac:dyDescent="0.25">
      <c r="A50" s="22" t="s">
        <v>50</v>
      </c>
      <c r="B50" s="4">
        <v>267000</v>
      </c>
      <c r="C50" s="82" t="s">
        <v>50</v>
      </c>
      <c r="D50" s="20" t="s">
        <v>52</v>
      </c>
      <c r="E50" s="20"/>
      <c r="F50" s="4">
        <f t="shared" ref="F50:F57" si="24">B50</f>
        <v>267000</v>
      </c>
      <c r="G50" s="4"/>
      <c r="H50" s="4"/>
      <c r="I50" s="4"/>
      <c r="J50" s="96"/>
      <c r="K50" s="95"/>
      <c r="L50" s="4"/>
      <c r="M50" s="4"/>
      <c r="N50" s="4"/>
      <c r="O50" s="4"/>
      <c r="P50" s="4"/>
      <c r="Q50" s="4"/>
      <c r="R50" s="4"/>
      <c r="U50" s="4"/>
      <c r="V50" s="4"/>
    </row>
    <row r="51" spans="1:22" x14ac:dyDescent="0.25">
      <c r="A51" s="22" t="s">
        <v>50</v>
      </c>
      <c r="B51" s="4">
        <v>550000</v>
      </c>
      <c r="C51" s="82" t="s">
        <v>50</v>
      </c>
      <c r="D51" s="20" t="s">
        <v>53</v>
      </c>
      <c r="E51" s="100" t="s">
        <v>54</v>
      </c>
      <c r="F51" s="4">
        <f t="shared" si="24"/>
        <v>550000</v>
      </c>
      <c r="G51" s="4"/>
      <c r="H51" s="4"/>
      <c r="I51" s="4"/>
      <c r="J51" s="96"/>
      <c r="K51" s="95"/>
      <c r="L51" s="4"/>
      <c r="M51" s="4"/>
      <c r="N51" s="4"/>
      <c r="O51" s="4"/>
      <c r="P51" s="4"/>
      <c r="Q51" s="4"/>
      <c r="S51" s="4"/>
      <c r="U51" s="4"/>
    </row>
    <row r="52" spans="1:22" x14ac:dyDescent="0.25">
      <c r="A52" s="22" t="s">
        <v>50</v>
      </c>
      <c r="B52" s="4">
        <v>700000</v>
      </c>
      <c r="C52" s="82" t="s">
        <v>50</v>
      </c>
      <c r="D52" s="20" t="s">
        <v>55</v>
      </c>
      <c r="E52" s="100"/>
      <c r="F52" s="4">
        <f t="shared" si="24"/>
        <v>700000</v>
      </c>
      <c r="G52" s="4"/>
      <c r="H52" s="4"/>
      <c r="I52" s="4"/>
      <c r="J52" s="96"/>
      <c r="K52" s="95"/>
      <c r="L52" s="4"/>
      <c r="M52" s="4"/>
      <c r="N52" s="4"/>
      <c r="O52" s="4"/>
      <c r="P52" s="4"/>
      <c r="Q52" s="4"/>
      <c r="R52" s="4"/>
      <c r="S52" s="4"/>
      <c r="U52" s="4"/>
      <c r="V52" s="4"/>
    </row>
    <row r="53" spans="1:22" x14ac:dyDescent="0.25">
      <c r="A53" s="22" t="s">
        <v>50</v>
      </c>
      <c r="B53" s="4">
        <v>238000</v>
      </c>
      <c r="C53" s="82" t="s">
        <v>50</v>
      </c>
      <c r="D53" s="20" t="s">
        <v>56</v>
      </c>
      <c r="E53" s="100"/>
      <c r="F53" s="4">
        <f t="shared" si="24"/>
        <v>238000</v>
      </c>
      <c r="G53" s="4"/>
      <c r="H53" s="4"/>
      <c r="I53" s="4"/>
      <c r="J53" s="96"/>
      <c r="K53" s="95"/>
      <c r="L53" s="4"/>
      <c r="M53" s="4"/>
      <c r="N53" s="4"/>
      <c r="O53" s="4"/>
      <c r="P53" s="4"/>
      <c r="Q53" s="4"/>
      <c r="R53" s="4"/>
      <c r="S53" s="4"/>
      <c r="U53" s="4"/>
      <c r="V53" s="4"/>
    </row>
    <row r="54" spans="1:22" x14ac:dyDescent="0.25">
      <c r="A54" s="22" t="s">
        <v>50</v>
      </c>
      <c r="B54" s="4">
        <v>378000</v>
      </c>
      <c r="C54" s="82" t="s">
        <v>50</v>
      </c>
      <c r="D54" s="20" t="s">
        <v>56</v>
      </c>
      <c r="E54" s="100" t="s">
        <v>57</v>
      </c>
      <c r="F54" s="4">
        <f t="shared" si="24"/>
        <v>378000</v>
      </c>
      <c r="G54" s="4"/>
      <c r="H54" s="4"/>
      <c r="I54" s="4"/>
      <c r="J54" s="96"/>
      <c r="K54" s="95"/>
      <c r="L54" s="4"/>
      <c r="M54" s="4"/>
      <c r="N54" s="4"/>
      <c r="O54" s="4"/>
      <c r="P54" s="4"/>
      <c r="Q54" s="4"/>
      <c r="R54" s="4"/>
      <c r="U54" s="4"/>
      <c r="V54" s="4"/>
    </row>
    <row r="55" spans="1:22" x14ac:dyDescent="0.25">
      <c r="A55" s="22" t="s">
        <v>50</v>
      </c>
      <c r="B55" s="4">
        <v>200000</v>
      </c>
      <c r="C55" s="82" t="s">
        <v>50</v>
      </c>
      <c r="D55" s="20" t="s">
        <v>56</v>
      </c>
      <c r="E55" s="100"/>
      <c r="F55" s="4">
        <f t="shared" si="24"/>
        <v>200000</v>
      </c>
      <c r="G55" s="4"/>
      <c r="H55" s="4"/>
      <c r="I55" s="4"/>
      <c r="J55" s="96"/>
      <c r="K55" s="95"/>
      <c r="L55" s="4"/>
      <c r="M55" s="4"/>
      <c r="N55" s="4"/>
      <c r="O55" s="4"/>
      <c r="P55" s="4"/>
      <c r="Q55" s="4"/>
      <c r="R55" s="4"/>
      <c r="U55" s="4"/>
      <c r="V55" s="4"/>
    </row>
    <row r="56" spans="1:22" x14ac:dyDescent="0.25">
      <c r="A56" s="22" t="s">
        <v>50</v>
      </c>
      <c r="B56" s="4">
        <v>5891.07</v>
      </c>
      <c r="C56" s="82" t="s">
        <v>50</v>
      </c>
      <c r="D56" s="20" t="s">
        <v>56</v>
      </c>
      <c r="E56" s="100"/>
      <c r="F56" s="4">
        <f t="shared" si="24"/>
        <v>5891.07</v>
      </c>
      <c r="G56" s="4"/>
      <c r="H56" s="4"/>
      <c r="I56" s="4"/>
      <c r="J56" s="96"/>
      <c r="K56" s="95"/>
      <c r="L56" s="4"/>
      <c r="M56" s="4"/>
      <c r="N56" s="4"/>
      <c r="O56" s="4"/>
      <c r="P56" s="4"/>
      <c r="Q56" s="4"/>
      <c r="R56" s="4"/>
      <c r="U56" s="4"/>
      <c r="V56" s="4"/>
    </row>
    <row r="57" spans="1:22" x14ac:dyDescent="0.25">
      <c r="A57" s="26" t="s">
        <v>50</v>
      </c>
      <c r="B57" s="27">
        <v>3000000</v>
      </c>
      <c r="C57" s="82" t="s">
        <v>50</v>
      </c>
      <c r="D57" s="20" t="s">
        <v>58</v>
      </c>
      <c r="E57" s="4" t="s">
        <v>59</v>
      </c>
      <c r="F57" s="4">
        <f t="shared" si="24"/>
        <v>3000000</v>
      </c>
      <c r="G57" s="4"/>
      <c r="H57" s="4"/>
      <c r="I57" s="4"/>
      <c r="J57" s="97"/>
      <c r="K57" s="95"/>
      <c r="L57" s="4"/>
      <c r="M57" s="4"/>
      <c r="N57" s="4"/>
      <c r="O57" s="4"/>
      <c r="P57" s="4"/>
      <c r="Q57" s="4"/>
      <c r="R57" s="4"/>
      <c r="U57" s="4"/>
      <c r="V57" s="4"/>
    </row>
    <row r="58" spans="1:22" x14ac:dyDescent="0.25">
      <c r="A58" s="26" t="s">
        <v>42</v>
      </c>
      <c r="B58" s="27">
        <v>2500000</v>
      </c>
      <c r="C58" s="84"/>
      <c r="D58" s="28" t="s">
        <v>80</v>
      </c>
      <c r="E58" s="28"/>
      <c r="F58" s="4"/>
      <c r="G58" s="4"/>
      <c r="H58" s="4"/>
      <c r="I58" s="4"/>
      <c r="J58" s="97" t="s">
        <v>153</v>
      </c>
      <c r="K58" s="95">
        <f>B58</f>
        <v>2500000</v>
      </c>
      <c r="L58" s="4"/>
      <c r="M58" s="4"/>
      <c r="N58" s="4"/>
      <c r="O58" s="4"/>
      <c r="P58" s="4"/>
      <c r="Q58" s="4"/>
      <c r="R58" s="4"/>
      <c r="U58" s="4"/>
      <c r="V58" s="4"/>
    </row>
    <row r="59" spans="1:22" x14ac:dyDescent="0.25">
      <c r="A59" s="23" t="s">
        <v>42</v>
      </c>
      <c r="B59" s="17">
        <v>4509221.78</v>
      </c>
      <c r="C59" s="22"/>
      <c r="D59" s="12" t="s">
        <v>90</v>
      </c>
      <c r="F59" s="4"/>
      <c r="G59" s="4"/>
      <c r="H59" s="4"/>
      <c r="I59" s="4"/>
      <c r="J59" s="97" t="s">
        <v>152</v>
      </c>
      <c r="K59" s="95">
        <f>B59-2224835.89</f>
        <v>2284385.89</v>
      </c>
      <c r="L59" s="4"/>
      <c r="M59" s="4"/>
      <c r="N59" s="4"/>
      <c r="O59" s="4">
        <f>B59-K59</f>
        <v>2224835.89</v>
      </c>
      <c r="P59" s="4" t="s">
        <v>152</v>
      </c>
      <c r="Q59" s="4"/>
      <c r="R59" s="4"/>
      <c r="U59" s="4"/>
      <c r="V59" s="4"/>
    </row>
    <row r="60" spans="1:22" x14ac:dyDescent="0.25">
      <c r="B60" s="4">
        <f>SUM(B46:B59)</f>
        <v>19968190.900000002</v>
      </c>
      <c r="C60" s="85" t="s">
        <v>137</v>
      </c>
      <c r="F60" s="17">
        <v>10118150</v>
      </c>
      <c r="G60" s="17"/>
      <c r="H60" s="17"/>
      <c r="I60" s="17"/>
      <c r="J60" s="83" t="s">
        <v>139</v>
      </c>
      <c r="K60" s="17">
        <v>21603573</v>
      </c>
      <c r="L60" s="4"/>
      <c r="M60" s="4"/>
      <c r="N60" s="4"/>
      <c r="O60" s="4"/>
      <c r="P60" s="4"/>
      <c r="Q60" s="4"/>
      <c r="R60" s="4"/>
      <c r="U60" s="4"/>
      <c r="V60" s="4"/>
    </row>
    <row r="61" spans="1:22" x14ac:dyDescent="0.25">
      <c r="F61" s="4">
        <f>SUM(F47:F60)</f>
        <v>16733578.01</v>
      </c>
      <c r="G61" s="4"/>
      <c r="H61" s="4"/>
      <c r="I61" s="4"/>
      <c r="J61" s="4"/>
      <c r="K61" s="4">
        <f>SUM(K46:K60)</f>
        <v>32731500</v>
      </c>
      <c r="L61" s="4"/>
      <c r="M61" s="4"/>
      <c r="N61" s="4"/>
      <c r="O61" s="4"/>
      <c r="P61" s="4"/>
      <c r="Q61" s="4"/>
      <c r="R61" s="4"/>
      <c r="U61" s="4"/>
      <c r="V61" s="4"/>
    </row>
    <row r="62" spans="1:22" x14ac:dyDescent="0.25"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U62" s="4"/>
      <c r="V62" s="4"/>
    </row>
    <row r="63" spans="1:22" x14ac:dyDescent="0.25">
      <c r="B63" s="56" t="s">
        <v>60</v>
      </c>
      <c r="C63" s="56"/>
      <c r="D63" s="57"/>
      <c r="E63" s="57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U63" s="4"/>
      <c r="V63" s="4"/>
    </row>
    <row r="64" spans="1:22" x14ac:dyDescent="0.25">
      <c r="B64" s="56" t="s">
        <v>72</v>
      </c>
      <c r="C64" s="56"/>
      <c r="D64" s="57"/>
      <c r="E64" s="57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U64" s="4"/>
      <c r="V64" s="4"/>
    </row>
    <row r="65" spans="2:22" x14ac:dyDescent="0.25">
      <c r="B65" s="56" t="s">
        <v>61</v>
      </c>
      <c r="C65" s="56"/>
      <c r="D65" s="57"/>
      <c r="E65" s="57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U65" s="4"/>
      <c r="V65" s="4"/>
    </row>
    <row r="66" spans="2:22" x14ac:dyDescent="0.25">
      <c r="B66" s="58" t="s">
        <v>97</v>
      </c>
      <c r="C66" s="56"/>
      <c r="D66" s="57"/>
      <c r="E66" s="57"/>
      <c r="F66" s="57"/>
      <c r="G66" s="57"/>
      <c r="H66" s="57"/>
      <c r="I66" s="57"/>
      <c r="O66" s="4"/>
      <c r="P66" s="4"/>
      <c r="Q66" s="4"/>
      <c r="R66" s="4"/>
      <c r="U66" s="4"/>
      <c r="V66" s="4"/>
    </row>
    <row r="67" spans="2:22" x14ac:dyDescent="0.25">
      <c r="B67" s="57" t="s">
        <v>93</v>
      </c>
      <c r="C67" s="57">
        <v>511190.47</v>
      </c>
      <c r="D67" s="57"/>
      <c r="E67" s="57"/>
      <c r="F67" s="57"/>
      <c r="G67" s="57"/>
      <c r="H67" s="57"/>
      <c r="I67" s="57"/>
      <c r="O67" s="4"/>
      <c r="P67" s="4"/>
      <c r="Q67" s="4"/>
      <c r="R67" s="4"/>
      <c r="U67" s="4"/>
      <c r="V67" s="4"/>
    </row>
    <row r="68" spans="2:22" x14ac:dyDescent="0.25">
      <c r="B68" s="57" t="s">
        <v>94</v>
      </c>
      <c r="C68" s="57">
        <v>9320.5400000000009</v>
      </c>
      <c r="D68" s="57"/>
      <c r="E68" s="57"/>
      <c r="F68" s="57"/>
      <c r="G68" s="57"/>
      <c r="H68" s="57"/>
      <c r="I68" s="57"/>
    </row>
    <row r="69" spans="2:22" x14ac:dyDescent="0.25">
      <c r="B69" s="59" t="s">
        <v>95</v>
      </c>
      <c r="C69" s="59">
        <v>-42469.68</v>
      </c>
      <c r="D69" s="57"/>
      <c r="E69" s="57"/>
      <c r="F69" s="57"/>
      <c r="G69" s="57"/>
      <c r="H69" s="57"/>
      <c r="I69" s="57"/>
    </row>
    <row r="70" spans="2:22" ht="16.5" customHeight="1" x14ac:dyDescent="0.25">
      <c r="B70" s="57" t="s">
        <v>96</v>
      </c>
      <c r="C70" s="57">
        <f>SUM(C67:C69)</f>
        <v>478041.32999999996</v>
      </c>
      <c r="D70" s="57"/>
      <c r="E70" s="57"/>
      <c r="F70" s="57"/>
      <c r="G70" s="57"/>
      <c r="H70" s="57"/>
      <c r="I70" s="57"/>
    </row>
    <row r="71" spans="2:22" ht="16.5" customHeight="1" x14ac:dyDescent="0.25">
      <c r="B71" s="55" t="s">
        <v>119</v>
      </c>
      <c r="C71" s="57"/>
      <c r="D71" s="57"/>
      <c r="E71" s="57"/>
      <c r="F71" s="57"/>
      <c r="G71" s="57"/>
      <c r="H71" s="57"/>
      <c r="I71" s="57"/>
    </row>
    <row r="72" spans="2:22" ht="16.5" customHeight="1" x14ac:dyDescent="0.25">
      <c r="B72" s="57" t="s">
        <v>120</v>
      </c>
      <c r="C72" s="57">
        <v>4509221.78</v>
      </c>
      <c r="D72" s="57"/>
      <c r="E72" s="57"/>
      <c r="F72" s="57" t="s">
        <v>121</v>
      </c>
      <c r="G72" s="57"/>
      <c r="H72" s="57"/>
      <c r="I72" s="57"/>
    </row>
    <row r="73" spans="2:22" ht="16.5" customHeight="1" x14ac:dyDescent="0.25">
      <c r="B73" s="57" t="s">
        <v>122</v>
      </c>
      <c r="C73" s="57">
        <v>416000</v>
      </c>
      <c r="D73" s="57"/>
      <c r="E73" s="57"/>
      <c r="F73" s="57"/>
      <c r="G73" s="57"/>
      <c r="H73" s="57"/>
      <c r="I73" s="57"/>
    </row>
    <row r="74" spans="2:22" ht="16.5" customHeight="1" x14ac:dyDescent="0.25">
      <c r="B74" s="55" t="s">
        <v>123</v>
      </c>
      <c r="C74" s="57"/>
      <c r="D74" s="57"/>
      <c r="E74" s="57"/>
      <c r="F74" s="57"/>
      <c r="G74" s="57"/>
      <c r="H74" s="57"/>
      <c r="I74" s="57"/>
    </row>
    <row r="75" spans="2:22" ht="16.5" customHeight="1" x14ac:dyDescent="0.25">
      <c r="B75" s="55"/>
      <c r="C75" s="57"/>
      <c r="D75" s="57"/>
      <c r="E75" s="57"/>
      <c r="F75" s="57"/>
      <c r="G75" s="57"/>
      <c r="H75" s="57"/>
      <c r="I75" s="57"/>
    </row>
    <row r="76" spans="2:22" x14ac:dyDescent="0.25">
      <c r="B76" s="60"/>
      <c r="C76" s="60"/>
      <c r="D76" s="57"/>
      <c r="E76" s="57"/>
      <c r="F76" s="57"/>
      <c r="G76" s="57"/>
      <c r="H76" s="57"/>
      <c r="I76" s="57"/>
    </row>
    <row r="77" spans="2:22" x14ac:dyDescent="0.25">
      <c r="B77" s="56" t="s">
        <v>62</v>
      </c>
      <c r="C77" s="56"/>
      <c r="D77" s="57"/>
      <c r="E77" s="57"/>
      <c r="F77" s="57"/>
      <c r="G77" s="57"/>
      <c r="H77" s="57"/>
      <c r="I77" s="57"/>
    </row>
    <row r="78" spans="2:22" x14ac:dyDescent="0.25">
      <c r="B78" s="56" t="s">
        <v>72</v>
      </c>
      <c r="C78" s="56"/>
      <c r="D78" s="57"/>
      <c r="E78" s="57"/>
      <c r="F78" s="57"/>
      <c r="G78" s="57"/>
      <c r="H78" s="57"/>
      <c r="I78" s="57"/>
    </row>
    <row r="79" spans="2:22" x14ac:dyDescent="0.25">
      <c r="B79" s="56" t="s">
        <v>74</v>
      </c>
      <c r="C79" s="56"/>
      <c r="D79" s="57"/>
      <c r="E79" s="57"/>
      <c r="F79" s="57"/>
      <c r="G79" s="57"/>
      <c r="H79" s="57"/>
      <c r="I79" s="57"/>
    </row>
    <row r="80" spans="2:22" x14ac:dyDescent="0.25">
      <c r="B80" s="58" t="s">
        <v>98</v>
      </c>
      <c r="C80" s="61" t="s">
        <v>117</v>
      </c>
      <c r="D80" s="57"/>
      <c r="E80" s="57"/>
      <c r="F80" s="57"/>
      <c r="G80" s="57"/>
      <c r="H80" s="57"/>
      <c r="I80" s="57"/>
    </row>
    <row r="81" spans="2:11" x14ac:dyDescent="0.25">
      <c r="B81" s="55" t="s">
        <v>124</v>
      </c>
      <c r="C81" s="61"/>
      <c r="D81" s="57"/>
      <c r="E81" s="57"/>
      <c r="F81" s="57"/>
      <c r="G81" s="57"/>
      <c r="H81" s="57"/>
      <c r="I81" s="57"/>
    </row>
    <row r="82" spans="2:11" x14ac:dyDescent="0.25">
      <c r="B82" s="58"/>
      <c r="C82" s="61"/>
      <c r="D82" s="57"/>
      <c r="E82" s="57"/>
      <c r="F82" s="57"/>
      <c r="G82" s="57"/>
      <c r="H82" s="57"/>
      <c r="I82" s="57"/>
    </row>
    <row r="83" spans="2:11" x14ac:dyDescent="0.25">
      <c r="B83" s="56"/>
      <c r="C83" s="56"/>
      <c r="D83" s="57"/>
      <c r="E83" s="57"/>
      <c r="F83" s="57"/>
      <c r="G83" s="57"/>
      <c r="H83" s="57"/>
      <c r="I83" s="57"/>
    </row>
    <row r="84" spans="2:11" x14ac:dyDescent="0.25">
      <c r="B84" s="56" t="s">
        <v>69</v>
      </c>
      <c r="C84" s="56"/>
      <c r="D84" s="57"/>
      <c r="E84" s="57"/>
      <c r="F84" s="57"/>
      <c r="G84" s="57"/>
      <c r="H84" s="57"/>
      <c r="I84" s="57"/>
    </row>
    <row r="85" spans="2:11" x14ac:dyDescent="0.25">
      <c r="B85" s="56" t="s">
        <v>70</v>
      </c>
      <c r="C85" s="56"/>
      <c r="D85" s="57"/>
      <c r="E85" s="57"/>
      <c r="F85" s="57"/>
      <c r="G85" s="57"/>
      <c r="H85" s="57"/>
      <c r="I85" s="57"/>
    </row>
    <row r="86" spans="2:11" x14ac:dyDescent="0.25">
      <c r="B86" s="56" t="s">
        <v>71</v>
      </c>
      <c r="C86" s="56"/>
      <c r="D86" s="57"/>
      <c r="E86" s="57"/>
      <c r="F86" s="57"/>
      <c r="G86" s="57"/>
      <c r="H86" s="57"/>
      <c r="I86" s="57"/>
    </row>
    <row r="87" spans="2:11" x14ac:dyDescent="0.25">
      <c r="B87" s="56" t="s">
        <v>73</v>
      </c>
      <c r="C87" s="56"/>
      <c r="D87" s="57"/>
      <c r="E87" s="57"/>
      <c r="F87" s="57"/>
      <c r="G87" s="57"/>
      <c r="H87" s="57"/>
      <c r="I87" s="57"/>
    </row>
    <row r="88" spans="2:11" x14ac:dyDescent="0.25">
      <c r="B88" s="58" t="s">
        <v>118</v>
      </c>
      <c r="C88" s="61" t="s">
        <v>117</v>
      </c>
      <c r="D88" s="57"/>
      <c r="E88" s="57"/>
      <c r="F88" s="57"/>
      <c r="G88" s="57"/>
      <c r="H88" s="57"/>
      <c r="I88" s="57"/>
    </row>
    <row r="89" spans="2:11" x14ac:dyDescent="0.25">
      <c r="B89" s="58" t="s">
        <v>99</v>
      </c>
      <c r="C89" s="60"/>
      <c r="D89" s="57"/>
      <c r="E89" s="57"/>
      <c r="F89" s="57"/>
      <c r="G89" s="57"/>
      <c r="H89" s="57"/>
      <c r="I89" s="57"/>
    </row>
    <row r="90" spans="2:11" x14ac:dyDescent="0.25">
      <c r="B90" s="56" t="s">
        <v>100</v>
      </c>
      <c r="C90" s="60"/>
      <c r="D90" s="57"/>
      <c r="E90" s="57"/>
      <c r="F90" s="57"/>
      <c r="G90" s="57"/>
      <c r="H90" s="57"/>
      <c r="I90" s="57"/>
    </row>
    <row r="91" spans="2:11" x14ac:dyDescent="0.25">
      <c r="B91" s="56" t="s">
        <v>101</v>
      </c>
      <c r="C91" s="60"/>
      <c r="D91" s="57"/>
      <c r="E91" s="57"/>
      <c r="F91" s="57"/>
      <c r="G91" s="57"/>
      <c r="H91" s="57"/>
      <c r="I91" s="57"/>
    </row>
    <row r="92" spans="2:11" x14ac:dyDescent="0.25">
      <c r="B92" s="55" t="s">
        <v>125</v>
      </c>
      <c r="C92" s="60"/>
      <c r="D92" s="57"/>
      <c r="E92" s="57"/>
      <c r="F92" s="57"/>
      <c r="G92" s="57"/>
      <c r="H92" s="57"/>
      <c r="I92" s="57"/>
    </row>
    <row r="93" spans="2:11" x14ac:dyDescent="0.25">
      <c r="B93" s="60"/>
      <c r="C93" s="60"/>
      <c r="D93" s="57"/>
      <c r="E93" s="57"/>
      <c r="F93" s="57"/>
      <c r="G93" s="57"/>
      <c r="H93" s="57"/>
      <c r="I93" s="57"/>
    </row>
    <row r="94" spans="2:11" x14ac:dyDescent="0.25">
      <c r="B94" s="56"/>
      <c r="C94" s="60"/>
      <c r="D94" s="57"/>
      <c r="E94" s="57"/>
      <c r="F94" s="57"/>
      <c r="G94" s="57"/>
      <c r="H94" s="57"/>
      <c r="I94" s="57"/>
    </row>
    <row r="95" spans="2:11" x14ac:dyDescent="0.25">
      <c r="B95" s="56"/>
      <c r="C95" s="60"/>
      <c r="D95" s="57"/>
      <c r="E95" s="57"/>
      <c r="F95" s="57"/>
      <c r="G95" s="57"/>
      <c r="H95" s="57"/>
      <c r="I95" s="57"/>
    </row>
    <row r="96" spans="2:11" x14ac:dyDescent="0.25">
      <c r="B96" s="56"/>
      <c r="C96" s="4"/>
      <c r="D96" s="4"/>
      <c r="E96" s="4"/>
      <c r="F96" s="55"/>
      <c r="G96" s="4"/>
      <c r="H96" s="4"/>
      <c r="I96" s="4"/>
      <c r="J96" s="4"/>
      <c r="K96" s="55"/>
    </row>
    <row r="97" spans="2:14" x14ac:dyDescent="0.25">
      <c r="B97" s="56"/>
      <c r="C97" s="4"/>
      <c r="D97" s="20"/>
      <c r="E97" s="20"/>
      <c r="F97" s="4"/>
      <c r="G97" s="4"/>
      <c r="H97" s="4"/>
      <c r="I97" s="4"/>
      <c r="J97" s="22"/>
      <c r="K97" s="4"/>
    </row>
    <row r="98" spans="2:14" x14ac:dyDescent="0.25">
      <c r="B98" s="57"/>
      <c r="C98" s="82"/>
      <c r="D98" s="20"/>
      <c r="E98" s="20"/>
      <c r="F98" s="4"/>
      <c r="G98" s="4"/>
      <c r="H98" s="4"/>
      <c r="I98" s="4"/>
      <c r="J98" s="22"/>
      <c r="K98" s="4"/>
    </row>
    <row r="99" spans="2:14" x14ac:dyDescent="0.25">
      <c r="B99" s="57"/>
      <c r="C99" s="82"/>
      <c r="D99" s="20"/>
      <c r="E99" s="20"/>
      <c r="F99" s="4"/>
      <c r="G99" s="4"/>
      <c r="H99" s="4"/>
      <c r="I99" s="4"/>
      <c r="J99" s="22"/>
      <c r="K99" s="4"/>
    </row>
    <row r="100" spans="2:14" x14ac:dyDescent="0.25">
      <c r="B100" s="62"/>
      <c r="C100" s="82"/>
      <c r="D100" s="20"/>
      <c r="E100" s="20"/>
      <c r="F100" s="4"/>
      <c r="G100" s="4"/>
      <c r="H100" s="4"/>
      <c r="I100" s="4"/>
      <c r="J100" s="22"/>
      <c r="K100" s="4"/>
    </row>
    <row r="101" spans="2:14" x14ac:dyDescent="0.25">
      <c r="B101" s="57"/>
      <c r="C101" s="82"/>
      <c r="D101" s="20"/>
      <c r="E101" s="20"/>
      <c r="F101" s="4"/>
      <c r="G101" s="4"/>
      <c r="H101" s="4"/>
      <c r="I101" s="4"/>
      <c r="J101" s="22"/>
      <c r="K101" s="4"/>
    </row>
    <row r="102" spans="2:14" x14ac:dyDescent="0.25">
      <c r="B102" s="60"/>
      <c r="C102" s="82"/>
      <c r="D102" s="20"/>
      <c r="E102" s="100"/>
      <c r="F102" s="4"/>
      <c r="G102" s="4"/>
      <c r="H102" s="4"/>
      <c r="I102" s="4"/>
      <c r="J102" s="22"/>
      <c r="K102" s="4"/>
    </row>
    <row r="103" spans="2:14" x14ac:dyDescent="0.25">
      <c r="B103" s="24"/>
      <c r="C103" s="82"/>
      <c r="D103" s="20"/>
      <c r="E103" s="100"/>
      <c r="F103" s="4"/>
      <c r="G103" s="4"/>
      <c r="H103" s="4"/>
      <c r="I103" s="4"/>
      <c r="J103" s="22"/>
      <c r="K103" s="4"/>
    </row>
    <row r="104" spans="2:14" x14ac:dyDescent="0.25">
      <c r="B104" s="24"/>
      <c r="C104" s="82"/>
      <c r="D104" s="20"/>
      <c r="E104" s="100"/>
      <c r="F104" s="4"/>
      <c r="G104" s="4"/>
      <c r="H104" s="4"/>
      <c r="I104" s="4"/>
      <c r="J104" s="22"/>
      <c r="K104" s="4"/>
    </row>
    <row r="105" spans="2:14" x14ac:dyDescent="0.25">
      <c r="B105" s="24"/>
      <c r="C105" s="82"/>
      <c r="D105" s="20"/>
      <c r="E105" s="100"/>
      <c r="F105" s="4"/>
      <c r="G105" s="4"/>
      <c r="H105" s="4"/>
      <c r="I105" s="4"/>
      <c r="J105" s="22"/>
      <c r="K105" s="4"/>
    </row>
    <row r="106" spans="2:14" x14ac:dyDescent="0.25">
      <c r="B106" s="24"/>
      <c r="C106" s="82"/>
      <c r="D106" s="20"/>
      <c r="E106" s="100"/>
      <c r="F106" s="4"/>
      <c r="G106" s="4"/>
      <c r="H106" s="4"/>
      <c r="I106" s="4"/>
      <c r="J106" s="22"/>
      <c r="K106" s="4"/>
    </row>
    <row r="107" spans="2:14" x14ac:dyDescent="0.25">
      <c r="B107" s="24"/>
      <c r="C107" s="82"/>
      <c r="D107" s="20"/>
      <c r="E107" s="100"/>
      <c r="F107" s="4"/>
      <c r="G107" s="4"/>
      <c r="H107" s="4"/>
      <c r="I107" s="4"/>
      <c r="J107" s="22"/>
      <c r="K107" s="4"/>
    </row>
    <row r="108" spans="2:14" x14ac:dyDescent="0.25">
      <c r="B108" s="24"/>
      <c r="C108" s="82"/>
      <c r="D108" s="20"/>
      <c r="E108" s="4"/>
      <c r="F108" s="4"/>
      <c r="G108" s="4"/>
      <c r="H108" s="4"/>
      <c r="I108" s="4"/>
      <c r="J108" s="26"/>
      <c r="K108" s="4"/>
    </row>
    <row r="109" spans="2:14" x14ac:dyDescent="0.25">
      <c r="B109" s="24"/>
      <c r="C109" s="84"/>
      <c r="D109" s="28"/>
      <c r="E109" s="28"/>
      <c r="F109" s="4"/>
      <c r="G109" s="4"/>
      <c r="H109" s="4"/>
      <c r="I109" s="4"/>
      <c r="J109" s="26"/>
      <c r="K109" s="4"/>
    </row>
    <row r="110" spans="2:14" x14ac:dyDescent="0.25">
      <c r="B110" s="24"/>
      <c r="C110" s="22"/>
      <c r="F110" s="27"/>
      <c r="G110" s="27"/>
      <c r="H110" s="27"/>
      <c r="I110" s="27"/>
      <c r="J110" s="26"/>
      <c r="K110" s="27"/>
      <c r="L110" s="86"/>
      <c r="M110" s="86"/>
      <c r="N110" s="86"/>
    </row>
    <row r="111" spans="2:14" x14ac:dyDescent="0.25">
      <c r="B111" s="24"/>
      <c r="C111" s="85"/>
      <c r="F111" s="27"/>
      <c r="G111" s="27"/>
      <c r="H111" s="27"/>
      <c r="I111" s="27"/>
      <c r="J111" s="84"/>
      <c r="K111" s="27"/>
      <c r="L111" s="86"/>
      <c r="M111" s="86"/>
      <c r="N111" s="86"/>
    </row>
    <row r="112" spans="2:14" x14ac:dyDescent="0.25">
      <c r="B112" s="24"/>
      <c r="F112" s="4"/>
      <c r="G112" s="4"/>
      <c r="H112" s="4"/>
      <c r="I112" s="4"/>
      <c r="J112" s="4"/>
      <c r="K112" s="4"/>
    </row>
    <row r="113" spans="2:2" x14ac:dyDescent="0.25">
      <c r="B113" s="24"/>
    </row>
    <row r="114" spans="2:2" x14ac:dyDescent="0.25">
      <c r="B114" s="24"/>
    </row>
  </sheetData>
  <mergeCells count="7">
    <mergeCell ref="O46:R49"/>
    <mergeCell ref="E102:E104"/>
    <mergeCell ref="E105:E107"/>
    <mergeCell ref="G39:G40"/>
    <mergeCell ref="E39:E40"/>
    <mergeCell ref="E51:E53"/>
    <mergeCell ref="E54:E56"/>
  </mergeCells>
  <phoneticPr fontId="10" type="noConversion"/>
  <pageMargins left="0.16" right="0.15748031496062992" top="0.86614173228346458" bottom="0.31496062992125984" header="0.15748031496062992" footer="0.15748031496062992"/>
  <pageSetup paperSize="9" scale="70" orientation="landscape" r:id="rId1"/>
  <headerFooter>
    <oddHeader xml:space="preserve">&amp;CII Variazione Piano Investiementi 2025 - 2027
</oddHeader>
  </headerFooter>
  <rowBreaks count="1" manualBreakCount="1">
    <brk id="36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E1EEA-DCEC-4167-9E52-E3B27AED80B2}">
  <sheetPr>
    <pageSetUpPr fitToPage="1"/>
  </sheetPr>
  <dimension ref="A1:G52"/>
  <sheetViews>
    <sheetView topLeftCell="A7" workbookViewId="0">
      <selection activeCell="F9" sqref="F9"/>
    </sheetView>
  </sheetViews>
  <sheetFormatPr defaultRowHeight="15.75" x14ac:dyDescent="0.25"/>
  <cols>
    <col min="1" max="1" width="39" style="35" customWidth="1"/>
    <col min="2" max="2" width="22.140625" style="34" customWidth="1"/>
    <col min="3" max="3" width="20.42578125" style="35" customWidth="1"/>
    <col min="4" max="4" width="12.5703125" style="35" bestFit="1" customWidth="1"/>
    <col min="5" max="5" width="26.140625" style="35" bestFit="1" customWidth="1"/>
    <col min="6" max="6" width="34.42578125" style="35" bestFit="1" customWidth="1"/>
    <col min="7" max="7" width="25.28515625" style="35" customWidth="1"/>
    <col min="8" max="16384" width="9.140625" style="35"/>
  </cols>
  <sheetData>
    <row r="1" spans="1:7" ht="22.5" customHeight="1" x14ac:dyDescent="0.25">
      <c r="A1" s="33" t="s">
        <v>48</v>
      </c>
      <c r="C1" s="34"/>
      <c r="D1" s="34"/>
      <c r="E1" s="34"/>
      <c r="F1" s="34"/>
    </row>
    <row r="2" spans="1:7" ht="22.5" customHeight="1" x14ac:dyDescent="0.25">
      <c r="A2" s="36" t="s">
        <v>42</v>
      </c>
      <c r="B2" s="34">
        <v>2176539.02</v>
      </c>
      <c r="C2" s="37" t="s">
        <v>30</v>
      </c>
      <c r="D2" s="37"/>
      <c r="E2" s="38"/>
      <c r="F2" s="38"/>
    </row>
    <row r="3" spans="1:7" ht="22.5" customHeight="1" x14ac:dyDescent="0.25">
      <c r="A3" s="36" t="s">
        <v>42</v>
      </c>
      <c r="B3" s="34">
        <v>2176539.0299999998</v>
      </c>
      <c r="C3" s="37" t="s">
        <v>29</v>
      </c>
      <c r="D3" s="37"/>
      <c r="E3" s="38"/>
      <c r="F3" s="38"/>
    </row>
    <row r="4" spans="1:7" ht="22.5" customHeight="1" x14ac:dyDescent="0.25">
      <c r="A4" s="36" t="s">
        <v>42</v>
      </c>
      <c r="B4" s="51">
        <v>3000000</v>
      </c>
      <c r="C4" s="37" t="s">
        <v>49</v>
      </c>
      <c r="D4" s="37"/>
      <c r="E4" s="38"/>
      <c r="F4" s="38"/>
    </row>
    <row r="5" spans="1:7" ht="22.5" customHeight="1" x14ac:dyDescent="0.25">
      <c r="A5" s="36" t="s">
        <v>50</v>
      </c>
      <c r="B5" s="34">
        <v>267000</v>
      </c>
      <c r="C5" s="37" t="s">
        <v>51</v>
      </c>
      <c r="D5" s="37"/>
      <c r="E5" s="34"/>
      <c r="F5" s="34"/>
    </row>
    <row r="6" spans="1:7" ht="22.5" customHeight="1" x14ac:dyDescent="0.25">
      <c r="A6" s="36" t="s">
        <v>50</v>
      </c>
      <c r="B6" s="34">
        <v>267000</v>
      </c>
      <c r="C6" s="37" t="s">
        <v>52</v>
      </c>
      <c r="D6" s="37"/>
      <c r="E6" s="34"/>
      <c r="F6" s="34"/>
    </row>
    <row r="7" spans="1:7" ht="22.5" customHeight="1" x14ac:dyDescent="0.25">
      <c r="A7" s="36" t="s">
        <v>50</v>
      </c>
      <c r="B7" s="34">
        <v>550000</v>
      </c>
      <c r="C7" s="37" t="s">
        <v>53</v>
      </c>
      <c r="D7" s="101" t="s">
        <v>54</v>
      </c>
      <c r="E7" s="39"/>
      <c r="F7" s="40"/>
    </row>
    <row r="8" spans="1:7" ht="22.5" customHeight="1" x14ac:dyDescent="0.25">
      <c r="A8" s="36" t="s">
        <v>50</v>
      </c>
      <c r="B8" s="34">
        <v>700000</v>
      </c>
      <c r="C8" s="37" t="s">
        <v>55</v>
      </c>
      <c r="D8" s="101"/>
      <c r="E8" s="39"/>
      <c r="F8" s="40"/>
    </row>
    <row r="9" spans="1:7" ht="22.5" customHeight="1" x14ac:dyDescent="0.25">
      <c r="A9" s="36" t="s">
        <v>50</v>
      </c>
      <c r="B9" s="34">
        <v>238000</v>
      </c>
      <c r="C9" s="37" t="s">
        <v>56</v>
      </c>
      <c r="D9" s="101"/>
      <c r="E9" s="39"/>
      <c r="F9" s="40"/>
    </row>
    <row r="10" spans="1:7" ht="22.5" customHeight="1" x14ac:dyDescent="0.25">
      <c r="A10" s="36" t="s">
        <v>50</v>
      </c>
      <c r="B10" s="34">
        <v>378000</v>
      </c>
      <c r="C10" s="37" t="s">
        <v>56</v>
      </c>
      <c r="D10" s="101" t="s">
        <v>57</v>
      </c>
      <c r="E10" s="39"/>
      <c r="F10" s="40"/>
    </row>
    <row r="11" spans="1:7" ht="22.5" customHeight="1" x14ac:dyDescent="0.25">
      <c r="A11" s="36" t="s">
        <v>50</v>
      </c>
      <c r="B11" s="34">
        <v>200000</v>
      </c>
      <c r="C11" s="37" t="s">
        <v>56</v>
      </c>
      <c r="D11" s="101"/>
      <c r="E11" s="39"/>
      <c r="F11" s="40"/>
    </row>
    <row r="12" spans="1:7" ht="22.5" customHeight="1" x14ac:dyDescent="0.25">
      <c r="A12" s="36" t="s">
        <v>50</v>
      </c>
      <c r="B12" s="34">
        <v>5891.07</v>
      </c>
      <c r="C12" s="37" t="s">
        <v>56</v>
      </c>
      <c r="D12" s="101"/>
      <c r="E12" s="39"/>
      <c r="F12" s="40"/>
    </row>
    <row r="13" spans="1:7" ht="22.5" customHeight="1" x14ac:dyDescent="0.25">
      <c r="A13" s="41" t="s">
        <v>50</v>
      </c>
      <c r="B13" s="38">
        <v>3000000</v>
      </c>
      <c r="C13" s="37" t="s">
        <v>58</v>
      </c>
      <c r="D13" s="34" t="s">
        <v>59</v>
      </c>
      <c r="E13" s="34"/>
      <c r="F13" s="34"/>
    </row>
    <row r="14" spans="1:7" ht="22.5" customHeight="1" x14ac:dyDescent="0.25">
      <c r="A14" s="41" t="s">
        <v>42</v>
      </c>
      <c r="B14" s="38">
        <v>2500000</v>
      </c>
      <c r="C14" s="42" t="s">
        <v>80</v>
      </c>
      <c r="D14" s="42"/>
      <c r="E14" s="34"/>
      <c r="F14" s="34"/>
      <c r="G14" s="35" t="s">
        <v>134</v>
      </c>
    </row>
    <row r="15" spans="1:7" ht="22.5" customHeight="1" x14ac:dyDescent="0.25">
      <c r="A15" s="43" t="s">
        <v>42</v>
      </c>
      <c r="B15" s="44">
        <v>4509221.78</v>
      </c>
      <c r="C15" s="34" t="s">
        <v>90</v>
      </c>
      <c r="D15" s="34"/>
      <c r="E15" s="34"/>
      <c r="F15" s="34"/>
      <c r="G15" s="35" t="s">
        <v>135</v>
      </c>
    </row>
    <row r="16" spans="1:7" ht="22.5" customHeight="1" x14ac:dyDescent="0.25">
      <c r="B16" s="34">
        <f>SUM(B2:B15)</f>
        <v>19968190.900000002</v>
      </c>
    </row>
    <row r="17" spans="1:7" ht="22.5" customHeight="1" x14ac:dyDescent="0.25"/>
    <row r="18" spans="1:7" ht="22.5" customHeight="1" x14ac:dyDescent="0.25">
      <c r="A18" s="35" t="s">
        <v>106</v>
      </c>
      <c r="B18" s="34">
        <f>B2+B3+B4+B14+B15</f>
        <v>14362299.830000002</v>
      </c>
      <c r="C18" s="34"/>
      <c r="F18" s="35" t="s">
        <v>106</v>
      </c>
      <c r="G18" s="34">
        <f>G20-G19</f>
        <v>11127686.939999999</v>
      </c>
    </row>
    <row r="19" spans="1:7" ht="22.5" customHeight="1" x14ac:dyDescent="0.25">
      <c r="A19" s="45" t="s">
        <v>46</v>
      </c>
      <c r="B19" s="44">
        <f>SUM(B5:B13)</f>
        <v>5605891.0700000003</v>
      </c>
      <c r="C19" s="34"/>
      <c r="F19" s="45" t="s">
        <v>46</v>
      </c>
      <c r="G19" s="44">
        <v>5605891.0700000003</v>
      </c>
    </row>
    <row r="20" spans="1:7" ht="22.5" customHeight="1" x14ac:dyDescent="0.25">
      <c r="A20" s="35" t="s">
        <v>108</v>
      </c>
      <c r="B20" s="34">
        <f>SUM(B18:B19)</f>
        <v>19968190.900000002</v>
      </c>
      <c r="C20" s="49">
        <v>16733578.01</v>
      </c>
      <c r="D20" s="52" t="s">
        <v>109</v>
      </c>
      <c r="F20" s="35" t="s">
        <v>110</v>
      </c>
      <c r="G20" s="34">
        <v>16733578.01</v>
      </c>
    </row>
    <row r="21" spans="1:7" ht="22.5" customHeight="1" x14ac:dyDescent="0.25">
      <c r="C21" s="34"/>
      <c r="F21" s="35" t="s">
        <v>111</v>
      </c>
      <c r="G21" s="34">
        <f>B18-G18</f>
        <v>3234612.8900000025</v>
      </c>
    </row>
    <row r="22" spans="1:7" ht="22.5" customHeight="1" x14ac:dyDescent="0.25">
      <c r="C22" s="34"/>
      <c r="G22" s="34"/>
    </row>
    <row r="23" spans="1:7" ht="22.5" customHeight="1" x14ac:dyDescent="0.25">
      <c r="A23" s="35" t="s">
        <v>104</v>
      </c>
      <c r="C23" s="34"/>
      <c r="G23" s="34"/>
    </row>
    <row r="24" spans="1:7" ht="22.5" customHeight="1" x14ac:dyDescent="0.25">
      <c r="C24" s="34"/>
    </row>
    <row r="25" spans="1:7" ht="22.5" customHeight="1" x14ac:dyDescent="0.25">
      <c r="A25" s="47" t="s">
        <v>112</v>
      </c>
      <c r="B25" s="48"/>
      <c r="C25" s="53" t="s">
        <v>113</v>
      </c>
    </row>
    <row r="26" spans="1:7" ht="22.5" customHeight="1" x14ac:dyDescent="0.25">
      <c r="A26" s="35" t="s">
        <v>103</v>
      </c>
      <c r="B26" s="34">
        <v>10118150</v>
      </c>
      <c r="C26" s="34">
        <v>10118150</v>
      </c>
    </row>
    <row r="27" spans="1:7" ht="22.5" customHeight="1" x14ac:dyDescent="0.25">
      <c r="A27" s="35" t="s">
        <v>42</v>
      </c>
      <c r="B27" s="34">
        <f>B18-B26</f>
        <v>4244149.8300000019</v>
      </c>
      <c r="C27" s="34">
        <v>1009536.94</v>
      </c>
    </row>
    <row r="28" spans="1:7" ht="22.5" customHeight="1" x14ac:dyDescent="0.25">
      <c r="A28" s="45" t="s">
        <v>46</v>
      </c>
      <c r="B28" s="44">
        <f>B19</f>
        <v>5605891.0700000003</v>
      </c>
      <c r="C28" s="44">
        <v>5605891.0700000003</v>
      </c>
    </row>
    <row r="29" spans="1:7" ht="22.5" customHeight="1" x14ac:dyDescent="0.25">
      <c r="B29" s="34">
        <f>SUM(B26:B28)</f>
        <v>19968190.900000002</v>
      </c>
      <c r="C29" s="34">
        <f>SUM(C26:C28)</f>
        <v>16733578.01</v>
      </c>
      <c r="E29" s="35" t="s">
        <v>107</v>
      </c>
      <c r="F29" s="34">
        <f>SUM(G29:G30)</f>
        <v>13352762.890000002</v>
      </c>
      <c r="G29" s="34">
        <f>B18</f>
        <v>14362299.830000002</v>
      </c>
    </row>
    <row r="30" spans="1:7" ht="22.5" customHeight="1" x14ac:dyDescent="0.25">
      <c r="C30" s="34"/>
      <c r="G30" s="34">
        <f>-C27</f>
        <v>-1009536.94</v>
      </c>
    </row>
    <row r="31" spans="1:7" ht="22.5" customHeight="1" x14ac:dyDescent="0.25">
      <c r="C31" s="34"/>
    </row>
    <row r="32" spans="1:7" ht="22.5" customHeight="1" x14ac:dyDescent="0.25">
      <c r="A32" s="33" t="s">
        <v>114</v>
      </c>
      <c r="B32" s="46"/>
      <c r="C32" s="34"/>
    </row>
    <row r="33" spans="1:7" ht="22.5" customHeight="1" x14ac:dyDescent="0.25">
      <c r="C33" s="34"/>
    </row>
    <row r="34" spans="1:7" ht="22.5" customHeight="1" x14ac:dyDescent="0.25">
      <c r="A34" s="35" t="s">
        <v>103</v>
      </c>
      <c r="B34" s="34">
        <v>21603573</v>
      </c>
      <c r="C34" s="38"/>
      <c r="D34" s="50"/>
    </row>
    <row r="35" spans="1:7" ht="22.5" customHeight="1" x14ac:dyDescent="0.25">
      <c r="A35" s="35" t="s">
        <v>42</v>
      </c>
      <c r="B35" s="34">
        <f>25348199.67-B34</f>
        <v>3744626.6700000018</v>
      </c>
      <c r="C35" s="38"/>
      <c r="D35" s="50"/>
    </row>
    <row r="36" spans="1:7" ht="22.5" customHeight="1" x14ac:dyDescent="0.25">
      <c r="A36" s="45" t="s">
        <v>46</v>
      </c>
      <c r="B36" s="44">
        <v>0</v>
      </c>
      <c r="C36" s="38"/>
      <c r="D36" s="50"/>
    </row>
    <row r="37" spans="1:7" ht="22.5" customHeight="1" x14ac:dyDescent="0.25">
      <c r="A37" s="35" t="s">
        <v>105</v>
      </c>
      <c r="B37" s="34">
        <f>B34+B35+B36</f>
        <v>25348199.670000002</v>
      </c>
      <c r="C37" s="34"/>
      <c r="E37" s="35" t="s">
        <v>115</v>
      </c>
      <c r="F37" s="34">
        <f>SUM(G37:G38)</f>
        <v>9608136.2200000007</v>
      </c>
      <c r="G37" s="34">
        <f>F29</f>
        <v>13352762.890000002</v>
      </c>
    </row>
    <row r="38" spans="1:7" ht="22.5" customHeight="1" x14ac:dyDescent="0.25">
      <c r="C38" s="34"/>
      <c r="G38" s="34">
        <f>-B35</f>
        <v>-3744626.6700000018</v>
      </c>
    </row>
    <row r="39" spans="1:7" ht="22.5" customHeight="1" x14ac:dyDescent="0.25">
      <c r="C39" s="34"/>
    </row>
    <row r="40" spans="1:7" ht="22.5" customHeight="1" x14ac:dyDescent="0.25"/>
    <row r="41" spans="1:7" ht="22.5" customHeight="1" x14ac:dyDescent="0.25"/>
    <row r="42" spans="1:7" ht="22.5" customHeight="1" x14ac:dyDescent="0.25"/>
    <row r="43" spans="1:7" ht="22.5" customHeight="1" x14ac:dyDescent="0.25"/>
    <row r="44" spans="1:7" ht="22.5" customHeight="1" x14ac:dyDescent="0.25"/>
    <row r="45" spans="1:7" ht="22.5" customHeight="1" x14ac:dyDescent="0.25"/>
    <row r="46" spans="1:7" ht="22.5" customHeight="1" x14ac:dyDescent="0.25"/>
    <row r="47" spans="1:7" ht="22.5" customHeight="1" x14ac:dyDescent="0.25"/>
    <row r="48" spans="1:7" ht="22.5" customHeight="1" x14ac:dyDescent="0.25"/>
    <row r="49" ht="22.5" customHeight="1" x14ac:dyDescent="0.25"/>
    <row r="50" ht="22.5" customHeight="1" x14ac:dyDescent="0.25"/>
    <row r="51" ht="22.5" customHeight="1" x14ac:dyDescent="0.25"/>
    <row r="52" ht="22.5" customHeight="1" x14ac:dyDescent="0.25"/>
  </sheetData>
  <mergeCells count="2">
    <mergeCell ref="D7:D9"/>
    <mergeCell ref="D10:D12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ignoredErrors>
    <ignoredError sqref="C2:C4" numberStoredAsText="1"/>
    <ignoredError sqref="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PREVENTIVO 26-28 FONTE APP.VERG</vt:lpstr>
      <vt:lpstr>III VARIAZ. 25-27</vt:lpstr>
      <vt:lpstr>FINANZIAMENTI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2026-01-27T08:58:19Z</cp:lastPrinted>
  <dcterms:created xsi:type="dcterms:W3CDTF">2024-11-08T09:45:34Z</dcterms:created>
  <dcterms:modified xsi:type="dcterms:W3CDTF">2026-01-27T11:58:09Z</dcterms:modified>
</cp:coreProperties>
</file>